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12 - mał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'12 - małopolskie'!$A$1:$O$36</definedName>
    <definedName name="_xlnm.Print_Area" localSheetId="2">'gm podst'!$A$1:$X$147</definedName>
    <definedName name="_xlnm.Print_Area" localSheetId="4">'gm rez'!$A$1:$X$110</definedName>
    <definedName name="_xlnm.Print_Area" localSheetId="1">'pow podst'!$A$1:$W$56</definedName>
    <definedName name="_xlnm.Print_Area" localSheetId="3">'pow rez'!$A$1:$W$26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0F11A844_143B_4571_A394_309DAB86E59D_.wvu.FilterData" localSheetId="2" hidden="1">'gm podst'!$A$1:$AB$141</definedName>
    <definedName name="Z_1464837A_6376_476B_AAB0_8B1E304AAF02_.wvu.FilterData" localSheetId="2" hidden="1">'gm podst'!$A$1:$AB$141</definedName>
    <definedName name="Z_221039A7_3EB6_4E7A_A727_8F155968A8FB_.wvu.FilterData" localSheetId="2" hidden="1">'gm podst'!$2:$141</definedName>
    <definedName name="Z_4BBBC7AF_8608_4A4D_B5E4_149DD5FA196B_.wvu.FilterData" localSheetId="1" hidden="1">'pow podst'!$2:$51</definedName>
    <definedName name="Z_680B6B44_5BEE_41E3_81AD_C70BE6A89C9D_.wvu.FilterData" localSheetId="2" hidden="1">'gm podst'!$2:$141</definedName>
    <definedName name="Z_78EDBC86_3313_4A77_A356_6936FD176668_.wvu.FilterData" localSheetId="1" hidden="1">'pow podst'!$2:$51</definedName>
    <definedName name="Z_7EB457F9_4EB5_44B5_9091_8C31F58F9CD8_.wvu.FilterData" localSheetId="2" hidden="1">'gm podst'!$A$2:$AC$2</definedName>
    <definedName name="Z_A38F20E6_6BFB_468C_9003_B9001F200E6C_.wvu.FilterData" localSheetId="2" hidden="1">'gm podst'!$A$2:$AC$2</definedName>
    <definedName name="Z_AE49B83A_B95B_4619_ABFD_AF384FC675A3_.wvu.FilterData" localSheetId="2" hidden="1">'gm podst'!$A$1:$AB$141</definedName>
    <definedName name="Z_BBD3F5ED_C3C3_425E_9C42_AD25D28A3C55_.wvu.FilterData" localSheetId="2" hidden="1">'gm podst'!$A$1:$AB$141</definedName>
    <definedName name="Z_CEA86074_6502_4E03_99DC_C46C80D7EBCC_.wvu.FilterData" localSheetId="2" hidden="1">'gm podst'!$A$1:$AB$141</definedName>
    <definedName name="Z_D73E8B50_866B_4B64_B37E_887CA70051E4_.wvu.FilterData" localSheetId="1" hidden="1">'pow podst'!$A$2:$AS$2</definedName>
    <definedName name="Z_D78BE047_AAA1_4197_954D_B2E778402570_.wvu.FilterData" localSheetId="2" hidden="1">'gm podst'!$A$1:$AB$141</definedName>
    <definedName name="Z_D7C18FEA_67DE_455D_8D2B_D45EE3AFD8CA_.wvu.FilterData" localSheetId="2" hidden="1">'gm podst'!$A$1:$AB$141</definedName>
    <definedName name="Z_D7C18FEA_67DE_455D_8D2B_D45EE3AFD8CA_.wvu.FilterData" localSheetId="1" hidden="1">'pow podst'!$A$2:$AS$2</definedName>
    <definedName name="Z_FBBB9F43_EC83_4370_B545_D8961EF57DE8_.wvu.FilterData" localSheetId="4" hidden="1">'gm rez'!$A$2:$AB$106</definedName>
  </definedNames>
  <calcPr fullCalcOnLoad="1"/>
</workbook>
</file>

<file path=xl/sharedStrings.xml><?xml version="1.0" encoding="utf-8"?>
<sst xmlns="http://schemas.openxmlformats.org/spreadsheetml/2006/main" count="2194" uniqueCount="993">
  <si>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</si>
  <si>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</si>
  <si>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</si>
  <si>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</si>
  <si>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</si>
  <si>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</si>
  <si>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</si>
  <si>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</si>
  <si>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</si>
  <si>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</si>
  <si>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</si>
  <si>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</si>
  <si>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</si>
  <si>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</si>
  <si>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</si>
  <si>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</si>
  <si>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</si>
  <si>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</si>
  <si>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</si>
  <si>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</si>
  <si>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</si>
  <si>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</si>
  <si>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</si>
  <si>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</si>
  <si>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</si>
  <si>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</si>
  <si>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</si>
  <si>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</si>
  <si>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</si>
  <si>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</si>
  <si>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</si>
  <si>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</si>
  <si>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</si>
  <si>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</si>
  <si>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</si>
  <si>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</si>
  <si>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</si>
  <si>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</si>
  <si>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</si>
  <si>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</si>
  <si>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</si>
  <si>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</si>
  <si>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</si>
  <si>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</si>
  <si>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</si>
  <si>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RAZEM listy rezerwowe, z tego:</t>
  </si>
  <si>
    <t>RAZEM listy: z tego:</t>
  </si>
  <si>
    <r>
      <t xml:space="preserve">Województwo: </t>
    </r>
    <r>
      <rPr>
        <sz val="10"/>
        <color indexed="10"/>
        <rFont val="Times New Roman"/>
        <family val="1"/>
      </rPr>
      <t>Małopolskie</t>
    </r>
  </si>
  <si>
    <t>8/P/W/N4/2020</t>
  </si>
  <si>
    <t>28/P/W/N4/2020</t>
  </si>
  <si>
    <t>22/P/W/N4/2020</t>
  </si>
  <si>
    <t>42/P/W/N4/2020</t>
  </si>
  <si>
    <t>14/P/W/N4/2020</t>
  </si>
  <si>
    <t>16/P/R/N4/2020</t>
  </si>
  <si>
    <t>19/P/W/N4/2020</t>
  </si>
  <si>
    <t>18/P/W/N4/2020</t>
  </si>
  <si>
    <t>17/P/W/N4/2020</t>
  </si>
  <si>
    <t>33/P/R/N4/2020</t>
  </si>
  <si>
    <t>3/P/R/N4/2020</t>
  </si>
  <si>
    <t>27/P/W/N4/2020</t>
  </si>
  <si>
    <t>1/P/W/N4/2020</t>
  </si>
  <si>
    <t>Powiat Krakowski</t>
  </si>
  <si>
    <t>Powiat Limanowski</t>
  </si>
  <si>
    <t>Powiat Myślenicki</t>
  </si>
  <si>
    <t>Powiat Nowosądecki</t>
  </si>
  <si>
    <t>Miasto Nowy Sącz</t>
  </si>
  <si>
    <t>Powiat Wielicki</t>
  </si>
  <si>
    <t>Powiat Brzeski</t>
  </si>
  <si>
    <t>Powiat Suski</t>
  </si>
  <si>
    <t>Powiat Olkuski</t>
  </si>
  <si>
    <t>Powiat Wadowicki</t>
  </si>
  <si>
    <t>Rozbudowa drogi powiatowej nr 1154K w km od 0+003,10 do 4+189,50 oraz od 0+003,60 do 0+080,40 w miejscowościach Przeginia i Sułoszowa, Powiat Krakowski</t>
  </si>
  <si>
    <t>B</t>
  </si>
  <si>
    <t>06.2021-06.2023</t>
  </si>
  <si>
    <t>P</t>
  </si>
  <si>
    <t>Przebudowa drogi powiatowej nr K1943 od km 3+349 do km 7+007 (obiekt mostowy w km 4+870) w miejscowości Polanka, Zawada, Krzyszkowice, Powiat Myślenicki</t>
  </si>
  <si>
    <t>Przebudowa drogi powiatowej nr 1604K (ul. Nawojowska) w km od 0+000,00 do 3+255,47 w miejscowości Nowy Sącz, Miasto Nowy Sącz</t>
  </si>
  <si>
    <t>R</t>
  </si>
  <si>
    <t>Rozbudowa drogi powiatowej nr 2035K w km od 0+000 do km 1+477 w miejscowości Grabówki, Powiat Wielicki</t>
  </si>
  <si>
    <t>Rozbudowa drogi powiatowej nr 2026K w km od 7+172 do km 7+331 w miejscowości Grajów, Powiat Wielicki</t>
  </si>
  <si>
    <t>06.2021-07.2022</t>
  </si>
  <si>
    <t>Przebudowa drogi powiatowej nr 1436K Brzesko-Okocim-Jadowniki w km od 6+635,00 do km 8+860,00 w miejscowości Jadowniki, Powiat Brzeski, Gmina Brzesko</t>
  </si>
  <si>
    <t>Przebudowa drogi powiatowej nr 1430K Brzesko-Szczepanów-Borzęcin w km od 10+826,00 do km 16+180,00 w miejscowościach Przyborów, Borzęcin, Powiat Brzeski, Gmina Borzęcin</t>
  </si>
  <si>
    <t>Przebudowa drogi powiatowej Maków-Żarnówka-Wieprzec-Kojszówka nr 1688K w km od 0+127,00 do km 1+021,00 w miejscowościach Maków Podhalański i Żarnówka, Powiat Suski</t>
  </si>
  <si>
    <t>Rozbudowa drogi powiatowej nr 1738K w km od 0+580 do km 1+415 w miejscowości Rzyki, Powiat Wadowicki</t>
  </si>
  <si>
    <t>Przebudowa drogi powiatowej nr 1782K - odcinek 1 w km od 1+402,00 do km 2+371,00, - odcinek 2 w km od 2+500,00 do km 4+090,00 wraz z rozbudową na odcinku nr 3 w km od 10+635,00 do km 13+641,00 w miejscowościach Zebrzydowice, Stanisław Dolny, Marcyporęba, Brzezinka, Brzeźnica; Powiat Wadowicki</t>
  </si>
  <si>
    <t>07.2021-06.2023</t>
  </si>
  <si>
    <t>40/P/W/N4/2020</t>
  </si>
  <si>
    <t>Powiat Tarnowski</t>
  </si>
  <si>
    <t>Remont drogi powiatowej nr 1346K w km od 2+858,00 do km 3+300,00 (obiekt mostowy w km 2+910,00 do km 3+199,00) w miejscowości Ostrów, Powiat Tarnowski</t>
  </si>
  <si>
    <t>25/P/R/N4/2020</t>
  </si>
  <si>
    <t>13/P/R/N4/2020</t>
  </si>
  <si>
    <t>12/P/R/N4/2020</t>
  </si>
  <si>
    <t>Powiat Oświęcimski</t>
  </si>
  <si>
    <t>Przebudowa drogi powiatowej 1001K na odcinku I - w km od 0+000,00 do km 0+114,53, na odcinku II - w km od 1+375,00 do km 2+023,00 w miejscowości Bobrek, Powiat Oświęcimski</t>
  </si>
  <si>
    <t>Remont drogi powiatowej nr 1513 K Powroźnik-Tylicz na odcinku I - w km od 0+010 do km 0+080, na odcinku II - w km 0+100 do km 1+725, na odcinku III - w km 1+725 do km 8+150 (z wyłączeniem 3+750 do 3+840), wraz z remontem mostów w km 1+250, 1+943, 3+006, 4+036, 5+612, 6+959, 7+470 w miejscowościach: Powroźnik, Wojkowa, Tylicz, Powiat Nowosądecki/Gminy Krynica-Zdrój, Muszyna</t>
  </si>
  <si>
    <t>Remont drogi powiatowej 1448K Tymowa - Łososina Dolna na odcinku I - w km od 11+525 do km 11+715, na odcinku II - w km 11+875 do km 14+685, na odcinku III -  w km 14+685 do km 15+400 w miejscowościach Michalczowa, Łososina Dolna, Powiat Nowosądecki/ Gmina Łososina Dolna</t>
  </si>
  <si>
    <t>129/G/P/N4/2020</t>
  </si>
  <si>
    <t>45/G/P/N4/2020</t>
  </si>
  <si>
    <t>132/G/B/N4/2020</t>
  </si>
  <si>
    <t>141/G/B/N4/2020</t>
  </si>
  <si>
    <t>199/G/B/N4/2020</t>
  </si>
  <si>
    <t>178/G/B/N4/2020</t>
  </si>
  <si>
    <t>131/G/B/N4/2020</t>
  </si>
  <si>
    <t>105/G/P/N4/2020</t>
  </si>
  <si>
    <t>65/G/P/N4/2020</t>
  </si>
  <si>
    <t>56/G/P/N4/2020</t>
  </si>
  <si>
    <t>59/G/B/N4/2020</t>
  </si>
  <si>
    <t>127/G/P/N4/2020</t>
  </si>
  <si>
    <t>163/G/B/N4/2020</t>
  </si>
  <si>
    <t>164/G/B/N4/2020</t>
  </si>
  <si>
    <t>102/G/B/N4/2020</t>
  </si>
  <si>
    <t>198/G/B/N4/2020</t>
  </si>
  <si>
    <t>101/G/B/N4/2020</t>
  </si>
  <si>
    <t>128/G/P/N4/2020</t>
  </si>
  <si>
    <t>224/G/P/N4/2020</t>
  </si>
  <si>
    <t>52/G/R/N4/2020</t>
  </si>
  <si>
    <t>225/G/P/N4/2020</t>
  </si>
  <si>
    <t>72/G/B/N4/2020</t>
  </si>
  <si>
    <t>217/G/P/N4/2020</t>
  </si>
  <si>
    <t>62/G/R/N4/2020</t>
  </si>
  <si>
    <t>216/G/P/N4/2020</t>
  </si>
  <si>
    <t>234/G/R/N4/2020</t>
  </si>
  <si>
    <t>69/G/P/N4/2020</t>
  </si>
  <si>
    <t>171/G/R/N4/2020</t>
  </si>
  <si>
    <t>Gmina Myślenice</t>
  </si>
  <si>
    <t>myślenicki</t>
  </si>
  <si>
    <t>Przebudowa drogi gminnej nr 540285K w km od 0+000 do km 2+507 (obiekt mostowy w km 2+378) w miejscowości Jawornik, Gmina Myślenice</t>
  </si>
  <si>
    <t>nowotarski</t>
  </si>
  <si>
    <t>Gmina Mogilany</t>
  </si>
  <si>
    <t>krakowski</t>
  </si>
  <si>
    <t>Przebudowa drogi gminnej 600697K w km 0+000 do km 3+152 w miejscowości Włosań, Gmina Mogilany</t>
  </si>
  <si>
    <t>Gmina Skawina</t>
  </si>
  <si>
    <t>Gmina Krzeszowice</t>
  </si>
  <si>
    <t>Gmina Miasto Nowy Targ</t>
  </si>
  <si>
    <t>Gmina Ochotnica Dolna</t>
  </si>
  <si>
    <t>Rozbudowa drogi gminnej K363949 na odcinku I - w km od 3+387,00 do km 3+718,00, na odcinku II - w km od 5+533,00 do km 5+636,00, na odcinku III - w km od 5+636,00 do km 5+861,40 (obiekt mostowy w km 5+749,80 do km 5+854,20) wraz z przebudową skrzyżowania w km 5+729,00 w miejscowości Tylmanowa, Gmina Ochotnica Dolna</t>
  </si>
  <si>
    <t>Rozbudowa drogi gminnej nr 600925K od km 0+003,00 do km 0+316,00 oraz budowa od km 0+002,75 do km 0+136,91 w mieście Skawina, Gmina Skawina</t>
  </si>
  <si>
    <t>Gmina Kościelisko</t>
  </si>
  <si>
    <t>tatrzański</t>
  </si>
  <si>
    <t>Przebudowa drogi gminnej K420081 - ul. Salamandra od km 0+003,65 do km 0+990,00 (z wyłączeniem 0+790,00-0+870,00) w miejscowości Kościelisko, Gmina Kościelisko</t>
  </si>
  <si>
    <t>Gmina Wiśniowa</t>
  </si>
  <si>
    <t>oświęcimski</t>
  </si>
  <si>
    <t>proszowicki</t>
  </si>
  <si>
    <t>Gmina Brzeszcze</t>
  </si>
  <si>
    <t>Przebudowa drogi gminnej 510580K ul. Osiedle Paderewskiego w km 0+000 - 0+633,50 oraz rozbudowa drogi gminnej 510580K ul. Osiedle Paderewskiego w km 0+633,50 - 0+855,00 w miejscowości Jawiszowice, Gmina Brzeszcze</t>
  </si>
  <si>
    <t>Gmina Wadowice</t>
  </si>
  <si>
    <t>wadowicki</t>
  </si>
  <si>
    <t>Rozbudowa drogi gminnej nr 470561K w km od 0+008,34 do km 0+390,09 wraz z przebudową skrzyżowań ul. M.B.Fatimskiej, ul. Poprzecznej, ul. Spółdzielców, Al. Wolności (w km od 0+000,00 do km 0+043,64, w km od 0+390,09 do km 0+417,88, w km od 0+000,00 do km 0+008,34) w miejscowości Wadowice, Gmina Wadowice</t>
  </si>
  <si>
    <t>Gmina Biskupice</t>
  </si>
  <si>
    <t>wielicki</t>
  </si>
  <si>
    <t>Przebudowa drogi gminnej Łazany - Zabłocie nr 560005K od km 0+011,61 do km 1+732,87 w miejscowościach Łazany i Trąbki, Gmina Biskupice</t>
  </si>
  <si>
    <t>brzeski</t>
  </si>
  <si>
    <t>Miasto Gorlice</t>
  </si>
  <si>
    <t>gorlicki</t>
  </si>
  <si>
    <t>Miasto Oświęcim</t>
  </si>
  <si>
    <t>Gmina Zabierzów</t>
  </si>
  <si>
    <t>Rozbudowa drogi gminnej Nr 601657K w km 0+000 do km 0+514 (obiekt mostowy w km od 0+025 do km 0+034) w miejscowości Kobylany, Gmina Zabierzów</t>
  </si>
  <si>
    <t>Rozbudowa drogi gminnej nr 362715K na os. Szuflów w km od 0+000,00 do km 0+486,50 w Nowym Targu, Gmina Miasto Nowy Targ</t>
  </si>
  <si>
    <t>Rozbudowa drogi gminnej Nr 601661K w km od 0+000 do km 0+150 (obiekt mostowy w km od 0+045 do km 0+067) w miejscowości Więckowice, Gmina Zabierzów</t>
  </si>
  <si>
    <t>Przebudowa drogi gminnej nr 560003K od km 1+300,00 do km 3+159,10 w miejscowościach Szczygłów i Zabłocie, Gmina Biskupice</t>
  </si>
  <si>
    <t>tarnowski</t>
  </si>
  <si>
    <t>nowosądecki</t>
  </si>
  <si>
    <t>Gmina Kalwaria Zebrzydowska</t>
  </si>
  <si>
    <t>Przebudowa drogi gminnej nr K470109 "Czerna" w km od 0+010 do km 0+515 w miejscowościach Zebrzydowice i Stanisław Dolny, Gmina Kalwaria Zebrzydowska</t>
  </si>
  <si>
    <t>Gmina Brzesko</t>
  </si>
  <si>
    <t>Przebudowa drogi gminnej nr K470098 "Wały" w km od 0+014 do km 1+463 w miejscowości Przytkowice, Gmina Kalwaria Zebrzydowska</t>
  </si>
  <si>
    <t>olkuski</t>
  </si>
  <si>
    <t>Gmina Jabłonka</t>
  </si>
  <si>
    <t>Budowa drogi gminnej w km 0+00 do km 00+539,69 wraz z budową obiektu mostowego na potoku Chyżny w km 00+233,7 do km 00+270,47 w miejscowości Chyżne, Gmina Jabłonka</t>
  </si>
  <si>
    <t>Gmina Olkusz</t>
  </si>
  <si>
    <t>Przebudowa drogi gminnej ul. Przemysłowa nr 120267K w km od 0+000,00 do km 0+417,75 w miejscowości Olkusz, Gmina Olkusz</t>
  </si>
  <si>
    <t>Gmina Biały Dunajec</t>
  </si>
  <si>
    <t>Przebudowa drogi gminnej ul. E. Orzeszkowej 120253K na odcinku I - w km od 0+466,50 do km 0+566,70, na odcinku II - w km od 0+566,70 do km 0+695,85, na odcinku III - w km od 0+695,85 do km 0+776,50 w miejscowości Olkusz, Gmina Olkusz</t>
  </si>
  <si>
    <t>chrzanowski</t>
  </si>
  <si>
    <t>Gmina Trzciana</t>
  </si>
  <si>
    <t>bocheński</t>
  </si>
  <si>
    <t>Remont drogi gminnej 580607K Rdzawa - Rdzawa Wieś w km od 0+000 do km 1+845 w miejscowości Rdzawa, Gmina Trzciana</t>
  </si>
  <si>
    <t>Gmina Nowe Brzesko</t>
  </si>
  <si>
    <t>Przebudowa drogi gminnej nr 160686K w km 0+008,66 - 0+431,70 w miejscowości Nowe Brzesko i Hebdów, Gmina Nowe Brzesko</t>
  </si>
  <si>
    <t>Gmina Lipinki</t>
  </si>
  <si>
    <t>212/G/R/N4/2020</t>
  </si>
  <si>
    <t>157/G/R/N4/2020</t>
  </si>
  <si>
    <t>213/G/R/N4/2020</t>
  </si>
  <si>
    <t>99/G/B/N4/2020</t>
  </si>
  <si>
    <t>150/G/P/N4/2020</t>
  </si>
  <si>
    <t>233/G/R/N4/2020</t>
  </si>
  <si>
    <t>112/G/B/N4/2020</t>
  </si>
  <si>
    <t>51/G/P/N4/2020</t>
  </si>
  <si>
    <t>Gmina Wolbrom</t>
  </si>
  <si>
    <t>Remont drogi gminnej 120587K w km od 0+000 do km 0+670 w miejscowości Wolbrom, Gmina Wolbrom</t>
  </si>
  <si>
    <t>Gmina Gródek nad Dunajcem</t>
  </si>
  <si>
    <t>Remont drogi gminnej nr 290694K w km od 0+000 do km 0+610 w miejscowości Jelna, Gmina Gródek nad Dunajcem</t>
  </si>
  <si>
    <t>Remont drogi gminnej 120569K w km od 0+000 do km 0+135 w miejscowości Wolbrom, Gmina Wolbrom</t>
  </si>
  <si>
    <t>Gmina Gorlice</t>
  </si>
  <si>
    <t>Rozbudowa drogi gminnej 270543K na odcinku I - w km 0+009,80 - 0+789,90, na odcinku II w km 0+804,20 - 2+201,50 w miejscowości Dominikowice, Gmina Gorlice</t>
  </si>
  <si>
    <t>Przebudowa drogi gminnej 270277K w km od 0+020,00 do km 0+859,10 w miejscowości Gorlice, Miasto Gorlice</t>
  </si>
  <si>
    <t>Remont drogi gminnej 580598K Kierlikówka - Rdzawa II w km od 0+000 do km 0+545 w miejscowości Kierlikówka, Gmina Trzciana</t>
  </si>
  <si>
    <t>Gmina Chrzanów</t>
  </si>
  <si>
    <t>Gmina Miechów</t>
  </si>
  <si>
    <t>miechowski</t>
  </si>
  <si>
    <t>Przebudowa drogi gminnej K 140268 Plac Kościuszki w km 0+000 - 0+210 w miejscowości Miechów, Gmina Miechów</t>
  </si>
  <si>
    <t>K</t>
  </si>
  <si>
    <t>147/P/W/N3/2019</t>
  </si>
  <si>
    <t>Przebudowa drogi powiatowej nr 1616 K Mszana Górna - Podłopień; odcinek I w km od 0+075 do km 2+678 w miejscowości Łostówka, odcinek II w km od 5+085 do km 9+120 w miejscowości Łostówka i Wilczyce - Powiat Limanowski</t>
  </si>
  <si>
    <t>07.2020-09.2022</t>
  </si>
  <si>
    <t>169/P/W/N3/2019</t>
  </si>
  <si>
    <t>Przebudowa drogi powiatowej nr 1100K w km od 1+257,19 do 6+428,00, odcinek I - (w km od 1+257,19 do km 2+813,75), odcinek II - ( w km od 2+830,08 do km 6+428,00) w miejscowościach Rodaki, Ryczówek i Kwaśniów Górny - Powiat Olkuski</t>
  </si>
  <si>
    <t>06.2020-08.2022</t>
  </si>
  <si>
    <t>165/G/W/N2/2019</t>
  </si>
  <si>
    <t>Gmina Rzezawa</t>
  </si>
  <si>
    <t>1201072</t>
  </si>
  <si>
    <t>12.2019-11.2022</t>
  </si>
  <si>
    <t>Gmina Szerzyny</t>
  </si>
  <si>
    <t>105/G/W/N3/2019</t>
  </si>
  <si>
    <t>Budowa drogi gminnej klasy D w km od 0+000 do 0+481,42 wraz z budową skrzyżowania drogi powiatowej nr 1387K w km 8+233 oraz budową skrzyżowania drogi powiatowej nr 1384K w km 15+106 w miejscowości Szerzyny w Gminie Szerzyny</t>
  </si>
  <si>
    <t>06.2020-10.2022</t>
  </si>
  <si>
    <t>03.2020-01.2022</t>
  </si>
  <si>
    <t>89/G/W/N3/2019</t>
  </si>
  <si>
    <t>Budowa drogi gminnej w km od 0+003 do 1+283 w miejscowości Zabagnie, Gmina Wolbrom</t>
  </si>
  <si>
    <t>71/G/B/N3/2019</t>
  </si>
  <si>
    <t>Gmina Kęty</t>
  </si>
  <si>
    <t>Budowa drogi gminnej obwodnicy zachodniej Kęt od km 0+000,00 do km 0+475,00 wraz z budową wiaduktu kolejowego od km 0+342,00 do km 0+364,00 oraz rozbudową skrzyżowania drogi powiatowej nr 1820K w km 0+429,33 w miejscowości Kęty, Gmina Kęty</t>
  </si>
  <si>
    <t>195/G/W/N3/2019</t>
  </si>
  <si>
    <t>Gmina Biecz</t>
  </si>
  <si>
    <t>Przebudowa drogi gminnej nr 271123K , odcinek 1 w km 0+012,45 - 0+106,00, odcinek 2 w km 0+536,00 - 0+694,31 wraz z budową skrzyżowania ulicy Jana Pawła II z Drogą Wojewódzką nr 980 w miejscowości Biecz, gmina Biecz</t>
  </si>
  <si>
    <t>09.2020-08.2022</t>
  </si>
  <si>
    <t>155/G/W/N3/2019</t>
  </si>
  <si>
    <t>Rozbudowa drogi gminnej nr 600865K od km 0+000,00 do km 0+362,00 w mieście Skawina, ul. Falbówki (Gmina Skawina).</t>
  </si>
  <si>
    <t>194/G/W/N3/2019</t>
  </si>
  <si>
    <t>Przebudowa drogi gminnej nr 270006K w km 0+000,00 - 1+302,41 w miejscowości Biecz, gmina Biecz</t>
  </si>
  <si>
    <t>43/G/W/N3/2019</t>
  </si>
  <si>
    <t>Remont drogi gminnej nr K363948 - odcinek I w km 0+000 - 0+080, odcinek II w km 0+850 - 1+515, odcinek III w km 1+530 - 1+640 w miejscowości Tylmanowa, Gmina Ochotnica Dolna</t>
  </si>
  <si>
    <t>05.2020-09.2022</t>
  </si>
  <si>
    <t>Przebudowa drogi powiatowej nr 1555 K Łososina Dolna –Ujanowice – Młynne na odcinku I w km 5+831 do km 12+000, na odcinku II w km od 12+000 do km 15+902 w miejscowości Kobyłczyna, Ujanowice, Strzeszyce, Krosna, Kamionka Mała, Laskowa, Powiat Limanowski</t>
  </si>
  <si>
    <t>12.2020-07.2022</t>
  </si>
  <si>
    <t>12.2020-08.2022</t>
  </si>
  <si>
    <t>10.2020-10.2022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</si>
  <si>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</si>
  <si>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</si>
  <si>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07.2021-07.2023</t>
  </si>
  <si>
    <t>07.2021-10.2022</t>
  </si>
  <si>
    <t>06.2021-05.2022</t>
  </si>
  <si>
    <t>04.2021-12.2022</t>
  </si>
  <si>
    <t>Remont drogi gminnej 270715K na odcinku I  w km od 0+011 do km 1+396 w miejscowości Wójtowa, na odcinku II - w km 2+484 do km 2+902 w miejscowości Pagorzyna, Gmina Lipinki</t>
  </si>
  <si>
    <t>07.2021-07.2022</t>
  </si>
  <si>
    <t>Budowa drogi gminnej od km 0+979,25 do km 1+510,00 w miejscowości Jodłówka wraz z rozbudową drogi gminnej ul. Zielonej nr K580329 od km 0+897,00 do km 0+979,25 w miejscowości Rzezawa, Gmina Rzezawa</t>
  </si>
  <si>
    <t>08.2021-07.2022</t>
  </si>
  <si>
    <t>04.2021-03.2023</t>
  </si>
  <si>
    <t>08.2021-09.2023</t>
  </si>
  <si>
    <t>07.2021-06.2022</t>
  </si>
  <si>
    <t>08.2021-10.2022</t>
  </si>
  <si>
    <t>05.2021-08.2022</t>
  </si>
  <si>
    <t>Remont drogi powiatowej nr 1618K Limanowa-Szyk-Mstów na odcinku I w km od 5+800 do km 8+115, na odcinku II w km od 8+500 do km 11+333 w miejscowości Rupniów, Nowe Rybie, Szyk, Powiat Limanowski</t>
  </si>
  <si>
    <t>07.2021-08.2022</t>
  </si>
  <si>
    <t>07.2021-05.2023</t>
  </si>
  <si>
    <t>07.2021-09.2022</t>
  </si>
  <si>
    <t>08.2021-08.2022</t>
  </si>
  <si>
    <t>08.2021-07.2023</t>
  </si>
  <si>
    <t>08.2021-11.2022</t>
  </si>
  <si>
    <t>Budowa drogi gminnej w km od 0+020,0 do km 0+626,4 (skrzyżowania z drogą powiatową: 1897K w km od 0+004,1 do km 0+020,0 i w km od 0+626,4 do km 0+634,3) w miejscowości Oświęcim, Gmina Miasto Oświęcim</t>
  </si>
  <si>
    <t>11.2021-10.2022</t>
  </si>
  <si>
    <t>09.2021-06.2023</t>
  </si>
  <si>
    <t>10.2021-11.2022</t>
  </si>
  <si>
    <t>09.2021-09.2023</t>
  </si>
  <si>
    <t>09.2021-10.2022</t>
  </si>
  <si>
    <t>10.2021-08.2022</t>
  </si>
  <si>
    <t>05.2021-01.2023</t>
  </si>
  <si>
    <t>09.2021-07.2023</t>
  </si>
  <si>
    <t>09.2021-09.2022</t>
  </si>
  <si>
    <t>10.2021-04.2024</t>
  </si>
  <si>
    <t>10.2021-02.2024</t>
  </si>
  <si>
    <t>10.2021-09.2023</t>
  </si>
  <si>
    <t>11.2021-12.2022</t>
  </si>
  <si>
    <t>11.2021-11.2022</t>
  </si>
  <si>
    <t>Przebudowa drogi powiatowej nr 1430K Brzesko-Szczepanów-Borzęcin w km od 2+465,00 do km 5+312,00 w miejscowościach Jadowniki, Sterkowiec, Powiat Brzeski, Gmina Brzesko</t>
  </si>
  <si>
    <t>Budowa drogi gminnej nr 600927K od km 0+000,00 do km 0+277,68 oraz rozbudowa od km 0+011,00 do km 0+055,46 w mieście Skawina, Gmina Skawina</t>
  </si>
  <si>
    <t>Budowa drogi gminnej odcinek I - w km od 0+000 do km 2+404 (obiekt mostowy w km 0+181), (skrzyżowanie z drogą krajową nr DK79 i drogą gminną nr 600399K w km 0+000); odcinek II - w km od 0+000 do 0+690 (przepust pod drogą w km 0+620), (skrzyżowanie z drogą gminną w km 0+413,12) w miejscowości Krzeszowice, Gmina Krzeszowice</t>
  </si>
  <si>
    <t>Budowa drogi gminnej nr 362680K ul. Gen. Władysława Sikorskiego klasy Z na odcinku I w km od 0+939,50 do km 1+335,87 i klasy D na odcinku II w km od 1+335,87 do km 1+946,60 wraz z budowa skrzyżowania drogi gminnej ul. Gen. Władysława Sikorskiego z ul. Szaflarską - przebudowa ul. Szaflarskiej na odcinku III w km od 1+783,50 do km 1+920,15 w Nowym Targu, Gmina Miasto Nowy Targ</t>
  </si>
  <si>
    <t>Przebudowa drogi wewnętrznej w km od 0+000 do km 0+074 (obiekt mostowy w km 0+007 do km 0+025),(skrzyżowanie z drogą powiatową nr 1925K w km 0+715 do km 0+762) w miejscowości Kobielnik, Gmina Wiśniowa</t>
  </si>
  <si>
    <t>Remont drogi gminnej 250691K w km od 0+000,00 do km 1+584,01 w miejscowości Bucze, Gmina Brzesko</t>
  </si>
  <si>
    <t xml:space="preserve">Remont drogi gminnej nr 420012 ul. Jana Pawła II, odcinek I - w km od 0+000 do km 0+405, odcinek II - w km 1+511 do km 2+068,5, odcinek III - w km 2+940,5 do km 3+477 w miejscowości Biały Dunajec, Gmina Biały Dunajec </t>
  </si>
  <si>
    <t>Budowa drogi gminnej ul. Łowieckiej 100622K w km od 0+000,00 do km 0+953,60 w miejscowości Chrzanów, Gmina Chrzanów</t>
  </si>
  <si>
    <t>Gmina Bukowno</t>
  </si>
  <si>
    <t>Gmina Miasta Tarnowa</t>
  </si>
  <si>
    <t>Gmina Bukowina Tatrzańska</t>
  </si>
  <si>
    <t>Gmina Wieliczka</t>
  </si>
  <si>
    <t>Gmina Łososina Dolna</t>
  </si>
  <si>
    <t>Gmina Mszana Dolna</t>
  </si>
  <si>
    <t>Gmina Raba Wyżna</t>
  </si>
  <si>
    <t>Gmina Korzenna</t>
  </si>
  <si>
    <t>Gmina Jodłownik</t>
  </si>
  <si>
    <t>Miasto i Gmina Muszyna</t>
  </si>
  <si>
    <t>Gmina Rabka-Zdrój</t>
  </si>
  <si>
    <t>Gmina Ryglice</t>
  </si>
  <si>
    <t>Gmina Spytkowice</t>
  </si>
  <si>
    <t>Gmina Dębno</t>
  </si>
  <si>
    <t>Gmina Nowy Wiśnicz</t>
  </si>
  <si>
    <t>limanowski</t>
  </si>
  <si>
    <t>01.03.2022 - 30.10.2022</t>
  </si>
  <si>
    <t>01.04.2022 - 30.06.2022</t>
  </si>
  <si>
    <t>01.03.2022 - 30.11.2022</t>
  </si>
  <si>
    <t>01.05.2022 - 30.11.2022</t>
  </si>
  <si>
    <t>02.05.2022 - 31.08.2022</t>
  </si>
  <si>
    <t>01.04.2022 - 30.11.2022</t>
  </si>
  <si>
    <t>03.03.2022 - 30.11.2022</t>
  </si>
  <si>
    <t>01.06.2022 - 30.09.2023</t>
  </si>
  <si>
    <t>01.06.2022 - 30.11.2022</t>
  </si>
  <si>
    <t>01.04.2022 - 20.12.2022</t>
  </si>
  <si>
    <t>01.04.2022 - 30.12.2022</t>
  </si>
  <si>
    <t>01.03.2022 - 31.12.2022</t>
  </si>
  <si>
    <t>01.01.2022 - 31.12.2022</t>
  </si>
  <si>
    <t>01.04.2022 - 31.12.2022</t>
  </si>
  <si>
    <t>W</t>
  </si>
  <si>
    <t>N</t>
  </si>
  <si>
    <t xml:space="preserve">95/G/P/N5/2021 </t>
  </si>
  <si>
    <t xml:space="preserve">169/G/P/N5/2021 </t>
  </si>
  <si>
    <t>187/G/R/N5/2021</t>
  </si>
  <si>
    <t xml:space="preserve">217/G/B/N5/2021 </t>
  </si>
  <si>
    <t>225/G/B/N5/2021</t>
  </si>
  <si>
    <t>51/G/R/N5/2021</t>
  </si>
  <si>
    <t>Gmina Zielonki</t>
  </si>
  <si>
    <t>Przebudowa drogi gminnej nr K601501 na odcinkach od km 0+003,6 do km 0+221,64; od km 0+330,13 do km 0+505,21 oraz od km 0+708,64 do 0+805,37 w miejscowości Boleń, Gmina Zielonki</t>
  </si>
  <si>
    <t>01.03.2022 - 15.12.2022</t>
  </si>
  <si>
    <t>Przebudowa odcinka drogi gminnej nr 364190K Firkowa II na odcinku w km 0+062 - 0+114 poprzez budowę mostu na potoku Orawka w miejscowości Podsarnie, Gmina Raba Wyżna</t>
  </si>
  <si>
    <t>Gmina Klucze</t>
  </si>
  <si>
    <t>Remont drogi gminnej nr 120141K w km od 0+000 do 0+691 ul. Polna, w km 0+000 do 0+182 ul. Górna w miejscowości Kwaśniów Górny, Gmina Klucze</t>
  </si>
  <si>
    <t>Gmina Rzepiennik Strzyżewski</t>
  </si>
  <si>
    <t>Budowa drogi gminnej nr 200533K w km od 0+000 - 1+990 w miejscowości Rzepiennik Strzyżewski, Gmina Rzepiennik Strzyżewski</t>
  </si>
  <si>
    <t>01.03.2022 - 28.02.2023</t>
  </si>
  <si>
    <t>Gmina Tarnów</t>
  </si>
  <si>
    <t>Budowa drogi gminnej 201762K w km 0+002,5 do km 0+339,6; z sięgaczem I w km 0+126,77 (odcinek w km 0+000 do km 0+093), sięgaczem II w km 0+201,86 (odcinek 0+000 do km 0+087) w miejscowości Zgłobice, Gmina Tarnów</t>
  </si>
  <si>
    <t>Remont drogi gminnej nr 580465K Leszczyna - Pod Klubę w km 0+000 - 0+818 w miejscowości Leszczyna, Gmina Trzciana</t>
  </si>
  <si>
    <t>01.04.2022 - 31.10.2022</t>
  </si>
  <si>
    <t>Powiat Bocheński</t>
  </si>
  <si>
    <t>Powiat Nowotarski</t>
  </si>
  <si>
    <t>Powiat Gorlicki</t>
  </si>
  <si>
    <t>13/P/P/N5/2021</t>
  </si>
  <si>
    <t>2/P/B/N5/2021</t>
  </si>
  <si>
    <t>36/P/P/N5/2021</t>
  </si>
  <si>
    <t>4/P/P/N5/2021</t>
  </si>
  <si>
    <t>26/P/B/N5/2021</t>
  </si>
  <si>
    <t>28/P/P/N5/2021</t>
  </si>
  <si>
    <t>38/P/R/N5/2021</t>
  </si>
  <si>
    <t>41/P/R/N5/2021</t>
  </si>
  <si>
    <t>46/P/P/N5/2021</t>
  </si>
  <si>
    <t>9/P/P/N5/2021</t>
  </si>
  <si>
    <t>11/P/R/N5/2021</t>
  </si>
  <si>
    <t>Przebudowa drogi powiatowej nr 1615K Mszana Górna - Wilczyce w km od 2+850 do km 5+310 w miejscowości Łętowe, Powiat Limanowski</t>
  </si>
  <si>
    <t>Rozbudowa drogi powiatowej nr 2085K na odcinku I - w km od 1+677,14 do km 2+105,00 w miejscowości Gierczyce, na odcinku II - w km od 2+875,00 do km 3+501,84 w miejscowościach Gierczyce i Nieszkowice Małe, Powiat Bocheński</t>
  </si>
  <si>
    <t>01.02.2022 - 30.11.2022</t>
  </si>
  <si>
    <t>Przebudowa drogi powiatowej nr 1684K Jordanów - Mąkacz - Bystra w km od 0+013,50 do km 1+150,00 w miejscowościach Jordanów i Bystra Podhalańska, Powiat Suski</t>
  </si>
  <si>
    <t>15.05.2022 - 15.09.2023</t>
  </si>
  <si>
    <t>Przebudowa drogi powiatowej nr 1433K Mokrzyska - Bucze - Mokrzyska na odcinku I w km od 0+000,00 do km 0+920,00, na odcinku Ii w km od 1+130,00 do km 7+870,00, na odcinku III w km od 8+261,00 do km 8+641,00 w miejscowościach Mokrzyska, Bucze, Powiat Brzeski, Gmina Brzesko</t>
  </si>
  <si>
    <t>Rozbudowa drogi powiatowej nr 1642K Groń - Trybsz - Niedzica w km od 1+840,00 do km 2+305,00 (obiekt mostowy w km 2+131,50) w miejscowości Trybsz, Powiat Nowotarski / Gmina Łapsze Niżne</t>
  </si>
  <si>
    <t>01.07.2022 - 30.07.2023</t>
  </si>
  <si>
    <t>Przebudowa drogi powiatowej 1091K w km od 4+295 do km 7+561 w miejscowości Bogucin Duży, Powiat Olkuski</t>
  </si>
  <si>
    <t>01.02.2022 - 30.09.2024</t>
  </si>
  <si>
    <t>Remont drogi powiatowej nr 1410K Zdonia - Czchów - Iwkowa w km: odc. I: od km 0+005 do km 6+010, odc. II: od km 6+300 do km 6+999 w miejscowości Zakliczyn, Zdonia, Wola Stróska, Stróża, Filipowice - Powiat Tarnowski</t>
  </si>
  <si>
    <t>01.03.2022 - 30.06.2023</t>
  </si>
  <si>
    <t>Remont drogi powiatowej nr 1787K na odcinku I - w km od 2+670 do km 3+460, na odcinku II - w km od 3+560 do km 5+680 w miejscowościach Przytkowice, Paszkówka, Powiat Wadowicki</t>
  </si>
  <si>
    <t>30.06.2022 - 30.11.2022</t>
  </si>
  <si>
    <t>Przebudowa drogi powiatowej nr 2019K Trąbki - Niegowić w miejscowości Trąbki i Zabłocie na odcinku od skrzyżowania z drogą wojewódzką nr 966 do potoku Zborówek od km 0+011,65 do km 2+932,31, Powiat Wielicki</t>
  </si>
  <si>
    <t>01.06.2022 - 31.05.2024</t>
  </si>
  <si>
    <t>Przebudowa drogi powiatowej nr 1507K Szymbark - Bystra - Szalowa na odcinku I - w km od 0+003,50 do km 0+275, na odcinku II - w km od 0+355 do km 0+742 w miejscowości Szymbark, Powiat Gorlicki</t>
  </si>
  <si>
    <t>Remont drogi powiatowej nr 2124K w km od 0+010,20 do km 8+083,90 w miejscowościach Wola Filipowska, Filipowice, Miękinia, Nowa Góra, Ostrężnica, Powiat Krakowski</t>
  </si>
  <si>
    <t>03.01.2022 - 30.06.2023</t>
  </si>
  <si>
    <t>11.2021-09.2023</t>
  </si>
  <si>
    <t>23/P/R/N5/2021</t>
  </si>
  <si>
    <t>32/P/P/N5/2021</t>
  </si>
  <si>
    <t>33/P/B/N5/2021</t>
  </si>
  <si>
    <t>6/P/R/N5/2021</t>
  </si>
  <si>
    <t>7/P/P/N5/2021</t>
  </si>
  <si>
    <t>40/P/R/N5/2021</t>
  </si>
  <si>
    <t>17/P/P/N5/2021</t>
  </si>
  <si>
    <t>Powiat Proszowicki</t>
  </si>
  <si>
    <t>Powiat Chrzanowski</t>
  </si>
  <si>
    <t>Powiat Dąbrowski</t>
  </si>
  <si>
    <t>Powiat Tatrzański</t>
  </si>
  <si>
    <t>Powiat Miechowski</t>
  </si>
  <si>
    <t>Remont drogi powiatowej nr 1573K Nowy Sącz - Cieniawa na odcinku I - w km od 4+450 do km 12+800 (z wyłączeniem 7+220 do 7+250 oraz 7+830 do 8+050), na odcinku II - w km od 14+580 do km 15+105 w miejscowościach: Kunów, Mystków, Mszalnica, Cieniawa, Powiat Nowosądecki</t>
  </si>
  <si>
    <t>Przebudowa drogi powiatowej 1872K ul. Pocztowa w km od 1+838,00 do km 2+638,00 w miejscowości Jawiszowice, Powiat Oświęcimski</t>
  </si>
  <si>
    <t>01.06.2022 - 31.07.2023</t>
  </si>
  <si>
    <t>Odbudowa drogi powiatowej 1281K w km od 0+000 do km 1+300 w miejscowości Hebdów i w miejscowości Gruszów, Powiat Proszowicki</t>
  </si>
  <si>
    <t>11.04.2022 - 31.10.2022</t>
  </si>
  <si>
    <t>Remont drogi powiatowej 1002K w km od 0+024 do km 0+882 w miejscowości Libiąż, Powiat Chrzanowski</t>
  </si>
  <si>
    <t>Przebudowa drogi powiatowej 1324K w km 0+920 - 2+160 w miejscowości Nieczajna Górna, Powiat Dąbrowski</t>
  </si>
  <si>
    <t>Remont drogi powiatowej nr 1650K Biały Dunajec - Bukowina Tatrzańska od km 0+560 do km 3+443 oraz od km 3+482 do km 3+949 w miejscowości Biały Dunajec, Gliczarów Dolny, Powiat Tatrzański</t>
  </si>
  <si>
    <t>Przebudowa drogi powiatowej nr 1183K w km od 5+560 do km 7+560 w miejscowości Rogów, Powiat Miechowski</t>
  </si>
  <si>
    <t>25.04.2022 - 18.11.2022</t>
  </si>
  <si>
    <t>183/G/B/N5/2021</t>
  </si>
  <si>
    <t xml:space="preserve">146/G/B/N5/2021 </t>
  </si>
  <si>
    <t xml:space="preserve">47/G/P/N5/2021 </t>
  </si>
  <si>
    <t>233/G/B/N5/2021</t>
  </si>
  <si>
    <t xml:space="preserve">142/G/B/N5/2021 </t>
  </si>
  <si>
    <t>238/G/P/N5/2021</t>
  </si>
  <si>
    <t>185/G/B/N5/2021</t>
  </si>
  <si>
    <t xml:space="preserve">219/G/B/N5/2021 </t>
  </si>
  <si>
    <t>103/G/B/N5/2021</t>
  </si>
  <si>
    <t>237/G/B/N5/2021</t>
  </si>
  <si>
    <t xml:space="preserve">152/G/P/N5/2021 </t>
  </si>
  <si>
    <t xml:space="preserve">147/G/P/N5/2021 </t>
  </si>
  <si>
    <t xml:space="preserve">245/G/B/N5/2021 </t>
  </si>
  <si>
    <t>88/G/P/N5/2021</t>
  </si>
  <si>
    <t xml:space="preserve">224/G/B/N5/2021 </t>
  </si>
  <si>
    <t xml:space="preserve">218/G/B/N5/2021 </t>
  </si>
  <si>
    <t>168/G/B/N5/2021</t>
  </si>
  <si>
    <t xml:space="preserve">258/G/P/N5/2021 </t>
  </si>
  <si>
    <t xml:space="preserve">243/G/P/N5/2021 </t>
  </si>
  <si>
    <t>240/G/R/N5/2021</t>
  </si>
  <si>
    <t xml:space="preserve">89/G/B/N5/2021 </t>
  </si>
  <si>
    <t xml:space="preserve">50/G/B/N5/2021 </t>
  </si>
  <si>
    <t>180/G/P/N5/2021</t>
  </si>
  <si>
    <t>101/G/P/N5/2021</t>
  </si>
  <si>
    <t xml:space="preserve">144/G/P/N5/2021 </t>
  </si>
  <si>
    <t xml:space="preserve">104/G/P/N5/2021 </t>
  </si>
  <si>
    <t xml:space="preserve">234/G/R/N5/2021 </t>
  </si>
  <si>
    <t>212/G/B/N5/2021</t>
  </si>
  <si>
    <t>116/G/B/N5/2021</t>
  </si>
  <si>
    <t>105/G/P/N5/2021</t>
  </si>
  <si>
    <t xml:space="preserve">257/G/P/N5/2021 </t>
  </si>
  <si>
    <t>170/G/P/N5/2021</t>
  </si>
  <si>
    <t>232/G/B/N5/2021</t>
  </si>
  <si>
    <t xml:space="preserve">63/G/P/N5/2021 </t>
  </si>
  <si>
    <t>162/G/P/N5/2021</t>
  </si>
  <si>
    <t>157/G/P/N5/2021</t>
  </si>
  <si>
    <t>178/G/P/N5/2021</t>
  </si>
  <si>
    <t>130/G/R/N5/2021</t>
  </si>
  <si>
    <t>129/G/R/N5/2021</t>
  </si>
  <si>
    <t xml:space="preserve">110/G/B/N5/2021 </t>
  </si>
  <si>
    <t>163/G/B/N5/2021</t>
  </si>
  <si>
    <t>73/G/B/N5/2021</t>
  </si>
  <si>
    <t xml:space="preserve">102/G/B/N5/2021 </t>
  </si>
  <si>
    <t>177/G/P/N5/2021</t>
  </si>
  <si>
    <t>128/G/P/N5/2021</t>
  </si>
  <si>
    <t xml:space="preserve">235/G/R/N5/2021 </t>
  </si>
  <si>
    <t xml:space="preserve">241/G/R/N5/2021 </t>
  </si>
  <si>
    <t>264/G/P/N5/2021</t>
  </si>
  <si>
    <t xml:space="preserve">221/G/P/N5/2021 </t>
  </si>
  <si>
    <t xml:space="preserve">175/G/P/N5/2021 </t>
  </si>
  <si>
    <t xml:space="preserve">60/G/R/N5/2021 </t>
  </si>
  <si>
    <t>84/G/R/N5/2021</t>
  </si>
  <si>
    <t>155/G/R/N5/2021</t>
  </si>
  <si>
    <t>85/G/R/N5/2021</t>
  </si>
  <si>
    <t>74/G/B/N5/2021</t>
  </si>
  <si>
    <t>55/G/R/N5/2021</t>
  </si>
  <si>
    <t>53/G/R/N5/2021</t>
  </si>
  <si>
    <t>86/G/R/N5/2021</t>
  </si>
  <si>
    <t>82/G/R/N5/2021</t>
  </si>
  <si>
    <t>Gmina Miasta Bochnia</t>
  </si>
  <si>
    <t>Gmina Żabno</t>
  </si>
  <si>
    <t>Gmina Podegrodzie</t>
  </si>
  <si>
    <t>Gmina Miasto Zakopane</t>
  </si>
  <si>
    <t>Gmina Skrzyszów</t>
  </si>
  <si>
    <t>Gmina Krynica-Zdrój</t>
  </si>
  <si>
    <t>Gmina Andrychów</t>
  </si>
  <si>
    <t>Gmina Michałowice</t>
  </si>
  <si>
    <t>Gmina Wielka Wieś</t>
  </si>
  <si>
    <t>Gmina Alwernia</t>
  </si>
  <si>
    <t>Gmina Szaflary</t>
  </si>
  <si>
    <t>Gmina Czorsztyn</t>
  </si>
  <si>
    <t>Gmina i Miasto Miechów</t>
  </si>
  <si>
    <t>Gmina Książ Wielki</t>
  </si>
  <si>
    <t>Gmina Żegocina</t>
  </si>
  <si>
    <t>Gmina Łużna</t>
  </si>
  <si>
    <t>01.01.2022 - 31.12.2024</t>
  </si>
  <si>
    <t>Rozbudowa drogi gminnej nr 293123K (ul. Jana Pawła II) w km od 0+040 do km 1+517 wraz ze skrzyżowaniami - odcinek I oraz budowa drogi łączącej ulice Jana Pawła II, Smolika i 29 Listopada w km od 0+011,25 do km 0+534,60 - odcinek II w miejscowości Nowy Sącz, Miasto Nowy Sącz</t>
  </si>
  <si>
    <t>Przebudowa drogi gminnej 580046K na odcinku I - w km od 0+151 do 0+266, na odcinku II - w km od 0+000 do 0+150 w Bochni, Powiat Bocheński</t>
  </si>
  <si>
    <t>Rozbudowa drogi gminnej ul. Zamościa nr K203500 w miejscowości Łęg Tarnowski i Żabno w km 0+000 do km 2+410 wraz z rozbiórką i budową mostu w km 2+267, Gmina Żabno</t>
  </si>
  <si>
    <t>14.03.2022 - 27.11.2023</t>
  </si>
  <si>
    <t xml:space="preserve">Rozbudowa drogi gminnej nr 293946K ,,Polna" w km 0+000,00 - 0+420,09 wraz z budową obiektu mostowego w ciągu drogi nad potokiem Brzeźnianka w km 2+370,00 potoku i budową skrzyżowania z drogą powiatową nr 1547K relacji Brzezna - Brzezna Litacz - Wysokie w km 1+259,72 - 1+337,80 </t>
  </si>
  <si>
    <t>01.01.2022 - 31.12.2023</t>
  </si>
  <si>
    <t>Przebudowa drogi gminnej 420263K ul. Żeromskiego w km od 0+338 do km 0+969 (skrzyżowanie z drogą gminną nr 420243SK w km 0+428; nr 420237K w km 0+442; nr 420261K w km 0+664; 420213K w km 0+716) w miejscowości Zakopane, Gmina Miasto Zakopane</t>
  </si>
  <si>
    <t>10.01.2022 - 31.10.2022</t>
  </si>
  <si>
    <t>Budowa drogi gminnej ul. Ks. Prał. H. Januchty w km 0+037,00 - 0+348,05 w miejscowości Olkusz, Gmina Olkusz</t>
  </si>
  <si>
    <t>Rozbudowa drogi gminnej nr 200583K w km od 0+300,35 do km 0+582,86 w miejscowości Skrzyszów, Gmina Skrzyszów</t>
  </si>
  <si>
    <t>01.04.2022 - 30.09.2022</t>
  </si>
  <si>
    <t>Budowa drogi gminnej 600927K od km 0+039,66 do km 0+249,88 w miejscowości Skawina, Gmina Skawina</t>
  </si>
  <si>
    <t>Rozbudowa drogi gminnej 420231K (ul. ks J. Stolarczyka) w km od 0+003,00 do km 0+128,77 (skrzyżowanie z drogą gminną nr 420185K w km 0+128,77) w miejscowości Zakopane, Gmina Miasto Zakopane</t>
  </si>
  <si>
    <t>Przebudowa drogi gminnej nr 291564K ul. Kościuszki w km od 0+000,00 - 0+564,93 (sięgacz I w km 0+000,00 - 0+075,63, sięgacz II w km 0+000,00 - 0+035,00) w miejscowości Krynica-Zdrój, Gmina Krynica-Zdrój</t>
  </si>
  <si>
    <t>Przebudowa drogi gminnej nr 293313K (ul. Śniadeckich) w km od 0+011,00 do km 0+462,00 w miejscowości Nowy Sącz, Miasto Nowy Sącz</t>
  </si>
  <si>
    <t>15.06.2022 - 09.12.2022</t>
  </si>
  <si>
    <t>Budowa drogi gminnej A5/2.1 KDZ na odcinku I - od km 0+060,00 do km 0+080,00, na odcinku II - od km 0+080,00 do km 0+461,14 w miejscowości Andrychów, Gmina Andrychów</t>
  </si>
  <si>
    <t>10.01.2022 - 30.11.2022</t>
  </si>
  <si>
    <t>Budowa drogi gminnej 201009K w km od 0+002,80 do km 0+620,60 (skrzyżowanie z drogą powiatową nr 1352K w km 0+906,05) w miejscowości Tarnów (ul. Pasterska w Tarnowie), Miasto Tarnów</t>
  </si>
  <si>
    <t>Rozbudowa drogi gminnej nr 200584K w km od 0+959,00 do km 1+520,21 w miejscowości Skrzyszów, Gmina Skrzyszów</t>
  </si>
  <si>
    <t>Rozbudowa drogi gminnej 362664K ul. Parkowa w km od 0+000 do km 0+354,10(skrzyżowanie z drogą krajową DK 47 w km 18+116 oraz skrzyżowanie z drogą gminną ul. Krótka 362650K w km 0+044,40) w Nowym Targu, Gmina Miasto Nowy Targ</t>
  </si>
  <si>
    <t>Przebudowa drogi gminnej nr 470134K "ul. 3 Maja" w km od 0+017 do 0+332 w miejscowości Kalwaria Zebrzydowska, Gmina Kalwaria Zebrzydowska</t>
  </si>
  <si>
    <t>Remont drogi gminnej 420041K w km od 0+008 do km 4+145 w miejscowości Rzepiska, Gmina Bukowina Tatrzańska</t>
  </si>
  <si>
    <t>Rozbudowa drogi gminnej 601476K - ul. Południowa w km od 0+000,00 do km 0+606,45 (skrzyżowanie z drogą powiatową nr DP2130K w km 0+000,00 do km 0+030,00), w miejscowości Bębło, Gmina Wielka Wieś</t>
  </si>
  <si>
    <t>Rozbudowa drogi wewnętrznej ulicy Szkolnej na drogę gminną klasy D w Krzeczowie w km 0+000,00 - km 0+225,82, Gmina Rzezawa</t>
  </si>
  <si>
    <t>Przebudowa drogi gminnej w km od 0+000 do km 5+000 w miejscowości Gołaczewy i Chełm, Gmina Wolbrom</t>
  </si>
  <si>
    <t>01.04.2022 - 05.10.2024</t>
  </si>
  <si>
    <t>Przebudowa drogi gminnej nr 601656K w km od 0+000 do km 0+761 w miejscowości Więckowice, Gmina Zabierzów</t>
  </si>
  <si>
    <t>Przebudowa drogi gminnej nr 292411K Bilsko - Znamirowice w km od 0+008,00 do 0+579,10 (skrzyżowanie z drogą krajową nr 75 w km od 49+712,30 do 49+729,70) w miejscowości Bilsko, Gmina Łososina Dolna</t>
  </si>
  <si>
    <t>Przebudowa drogi gminnej w km od 0+000,00 do km 0+351,29 w miejscowości Krzeszowice, Gmina Krzeszowice</t>
  </si>
  <si>
    <t>01.06.2022 - 31.05.2023</t>
  </si>
  <si>
    <t>Remont drogi gminnej K420087, Zagrody Witowskie - Dworska, w km od 0+000 do km 2+450 (obiekt mostowy w km 0+190 do km 0+218), (obiekt mostowy w km 2+166 do km 2+181) w miejscowości Dzianisz / Witów, Gmina Kościelisko</t>
  </si>
  <si>
    <t>Budowa drogi gminnej w km od 0+000 do 0+744,50 w miejscowości Szerzyny, Gmina Szerzyny</t>
  </si>
  <si>
    <t>Rozbudowa drogi gminnej 604301K na odcinku I - w km od 0+002,50 do km 0+503,65, na odcinku II - w km od 0+527,55 do km 0+698,20 w miejscowości Kasina Wielka, Gmina Mszana Dolna</t>
  </si>
  <si>
    <t>01.04.2022 - 31.08.2023</t>
  </si>
  <si>
    <t>Przebudowa drogi gminnej w km od 14+17,68 do km 17+27,29 w miejscowości Nawojowa Góra, Gmina Krzeszowice</t>
  </si>
  <si>
    <t>Przebudowa drogi gminnej Sławkowice - Niżowa w km 0+000,00 do km 0+960,00 w miejscowości Sławkowice, Gmina Biskupice</t>
  </si>
  <si>
    <t>Przebudowa odcinka drogi gminnej nr 364087K "Pałaszówka" na odcinku w km 0+000 - 0+020,25 poprzez przebudowę mostu na potoku Rokicianka w miejscowości Rokiciny Podhalańskie</t>
  </si>
  <si>
    <t>Rozbudowa drogi gminnej ul. Szkotnik nr K203465 w miejscowości Żabno w km 2+410 do km 2+617, Gmina Żabno</t>
  </si>
  <si>
    <t>Przebudowa drogi Aleja Jana Pawła II na odcinku I - w km od 0+000,00 do km 0+516,85 (przepust w km 0+485,15), na odcinku II w km od 0+594,45 do km 1+495,20 w miejscowości Regulice, Gmina Alwernia</t>
  </si>
  <si>
    <t>Przebudowa drogi gminnej K364822 w km od 0+000,00 do 0+812,50 w miejscowości Maruszyna, Gmina Szaflary</t>
  </si>
  <si>
    <t>Przebudowa drogi gminnej 291154K w km od 0+000 do km 0+590 w miejscowości Korzenna, Gmina Korzenna</t>
  </si>
  <si>
    <t>Przebudowa drogi gminnej 360576K ul. Krótka w km od 0+000,00 do km 0+216,00 w miejscowości Czorsztyn, Gmina Czorsztyn</t>
  </si>
  <si>
    <t>Remont drogi gminnej K140250 ulica Jagiellońska w km 0+000 do km 0+342 w miejscowości Miechów, Gmina Miechów</t>
  </si>
  <si>
    <t>Remont drogi gminnej K140253 ulica Janów Górny w km 0+000 do km 0+261 w miejscowości Miechów, Gmina Miechów</t>
  </si>
  <si>
    <t>Rozbudowa drogi gminnej nr 340179K Pogorzany - Wieniec w km 0,003,50 - 1+078,55 w miejscowościach Szczyrzyc oraz Pogorzany, Gmina Jodłownik</t>
  </si>
  <si>
    <t>Budowa drogi gminnej w km od 0+003,00 do 0+937,20 (skrzyżowanie z drogą powiatową nr 1646K w km 12+100,38) w miejscowości Bór, Gmina Szaflary</t>
  </si>
  <si>
    <t>Rozbudowa drogi gminnej 270368K (ul. W. Pola) w km od 0+230 do km 0+978 w miejscowości Gorlice, Miasto Gorlice</t>
  </si>
  <si>
    <t>Rozbudowa drogi gminnej 600949K od km 0+000,00 do km 0+277,22 w miejscowości Skawina, Gmina Skawina</t>
  </si>
  <si>
    <t>Przebudowa drogi gminnej 360615K ul. Gorczańska w km od 0+501,00 do km 1+089,50 w miejscowości Kluszkowce, Gmina Czorsztyn</t>
  </si>
  <si>
    <t>Przebudowa drogi wewnętrznej ulica Kościelna w Książu Wielkim od km 0+000 do km 0+231</t>
  </si>
  <si>
    <t>04.05.2022 - 27.10.2022</t>
  </si>
  <si>
    <t>01.05.2022 - 31.12.2022</t>
  </si>
  <si>
    <t>Rozbudowa drogi gminnej 470288K w km od 00+015,84 do km 00+082,00 (obiekt mostowy w km 00+057), w miejscowości Spytkowice, Gmina Spytkowice</t>
  </si>
  <si>
    <t>Przebudowa drogi gminnej 250275K w km od 0+000 do km 0+990 w miejscowości Dębno, Gmina Dębno, Powiat brzeski</t>
  </si>
  <si>
    <t>01.04.2022-30.11.2022</t>
  </si>
  <si>
    <t>Przebudowa drogi gminnej nr 200289K w km od 0+000 do km 0+635 w miejscowości Lubcza, Gmina Ryglice</t>
  </si>
  <si>
    <t>Przebudowa drogi gminnej 364513K ul. Brzozowa w km 0+000 do 0+138 w miejscowości Rabka-Zdrój, Gmina Rabka-Zdrój</t>
  </si>
  <si>
    <t>Remont drogi gminnej 250555K w km od 0+000,00 do km 0+952,48 w miejscowości Brzesko, Gmina Brzesko</t>
  </si>
  <si>
    <t>01.02.2022 - 30.06.2023</t>
  </si>
  <si>
    <t>Remont drogi gminnej nr 271101K w km 0+000 - 0+500 w miejscowości Biecz, Gmina Biecz</t>
  </si>
  <si>
    <t>Remont drogi gminnej nr 292941K ul. Ogrodowej, na odcinku I w km od 0+000 do km 0+383 i na odcinku II w km od 0+000 do km 0+140 w miejscowości Muszyna, Gmina Muszyna</t>
  </si>
  <si>
    <t>Remont drogi gminnej nr 271128K w km 0+000 - 0+194 w miejscowości Biecz, Gmina Biecz</t>
  </si>
  <si>
    <t>Rozbudowa drogi gminnej 270355K na odcinku I w km 0+043,15 do km 0+135,15 (ul. Ogrodowa) oraz na odcinku II - w km od 0+000,00 do km 0+127,27 (ul. Rzeźnicza) w miejscowości Gorlice, Miasto Gorlice</t>
  </si>
  <si>
    <t>Remont drogi gminnej nr 580373K na odcinku I - w km od 0+000 do 0+230, na odcinku II - w km od 0+245 do 1+250 w miejscowości Łąkta Górna, Powiat Bocheński, Gmina Żegocina</t>
  </si>
  <si>
    <t>01.03.2022 - 31.10.2022</t>
  </si>
  <si>
    <t>Remont drogi gminnej nr 580279K Nowy Wiśnicz - ul. J. Matejki w miejscowości Nowy Wiśnicz w km 0+000 - 0+750, Gmina Nowy Wiśnicz</t>
  </si>
  <si>
    <t>Remont drogi gminnej 270781K na odcinku I w km od 0+012 do km 0+244, na odcinku II w km od 0+311 do km 0+813 w miejscowości Szalowa, Gmina Łużna</t>
  </si>
  <si>
    <t>Remont drogi gminnej 270636K w km od 0+039 - 0+561 (obiekt mostowy w km 0+257,1 - 0+272,9) w miejscowości Klęczany, Gmina Gorlice</t>
  </si>
  <si>
    <t>01.04.2022 - 15.12.2022</t>
  </si>
  <si>
    <t xml:space="preserve">98/G/R/N5/2021 </t>
  </si>
  <si>
    <t>Gmina Igołomia-Wawrzeńczyce</t>
  </si>
  <si>
    <t>Remont drogi gminnej nr 600059K - Wawrzeńczyce III odcinek w km 0+008,8 - 1+236,1 w miejscowości Wawrzeńczyce, Gmina Igołomia-Wawrzeńczyce</t>
  </si>
  <si>
    <t>04.04.2022 - 30.09.2022</t>
  </si>
  <si>
    <t>172/G/R/N5/2021</t>
  </si>
  <si>
    <t>Miasto i Gmina Szczawnica</t>
  </si>
  <si>
    <t>Remont drogi gminnej 364896K na odcinku I - w km od 0+648 do km 0+768 (sięgacz w km 0+000 do km 0+020, sięgacz w km 0+000 do km 0+095), na odcinku II - w km od 0+768 do km 0+858 (obiekt mostowy w km od 0+768 do km 0+775 w miejscowości Szczawnica, Gmina Szczawnica</t>
  </si>
  <si>
    <t>01.07.2022 - 30.06.2023</t>
  </si>
  <si>
    <t xml:space="preserve">190/G/B/N5/2021 </t>
  </si>
  <si>
    <t xml:space="preserve">191/G/B/N5/2021 </t>
  </si>
  <si>
    <t>125/G/B/N5/2021</t>
  </si>
  <si>
    <t xml:space="preserve">132/G/P/N5/2021 </t>
  </si>
  <si>
    <t>124/G/P/N5/2021</t>
  </si>
  <si>
    <t xml:space="preserve">216/G/P/N5/2021 </t>
  </si>
  <si>
    <t>204/G/P/N5/2021</t>
  </si>
  <si>
    <t>156/G/R/N5/2021</t>
  </si>
  <si>
    <t xml:space="preserve">135/G/R/N5/2021 </t>
  </si>
  <si>
    <t xml:space="preserve">139/G/R/N5/2021 </t>
  </si>
  <si>
    <t xml:space="preserve">244/G/R/N5/2021 </t>
  </si>
  <si>
    <t xml:space="preserve">97/G/R/N5/2021 </t>
  </si>
  <si>
    <t>49/G/R/N5/2021</t>
  </si>
  <si>
    <t xml:space="preserve">176/G/R/N5/2021 </t>
  </si>
  <si>
    <t>167/G/R/N5/2021</t>
  </si>
  <si>
    <t>251/G/P/N5/2021</t>
  </si>
  <si>
    <t>213/G/R/N5/2021</t>
  </si>
  <si>
    <t xml:space="preserve">59/G/R/N5/2021 </t>
  </si>
  <si>
    <t xml:space="preserve">149/G/R/N5/2021 </t>
  </si>
  <si>
    <t>188/G/R/N5/2021</t>
  </si>
  <si>
    <t xml:space="preserve">165/G/R/N5/2021 </t>
  </si>
  <si>
    <t>Gmina Osiek</t>
  </si>
  <si>
    <t>Odbudowa drogi gminnej 510082K w km od 0+045 do km 0+720 w miejscowości Osiek, Gmina Osiek</t>
  </si>
  <si>
    <t>04.05.2022 - 31.10.2022</t>
  </si>
  <si>
    <t>Rozbudowa drogi gminnej 510764K w km od 0+073,10 do km 0+505,00 (skrzyżowanie z drogą wojewódzką nr DW933 oraz skrzyżowanie z drogą powiatową nr 1895K w km od 0+505,00 do 0+538,20) w miejscowości Oświęcim, Gmina Miasto Oświęcim</t>
  </si>
  <si>
    <t>Miasto Mszana Dolna</t>
  </si>
  <si>
    <t>Budowa drogi gminnej 340575K w km od 0+004,20 do km 0+024,20 w miejscowości Mszana Dolna, powiat limanowski</t>
  </si>
  <si>
    <t>Gmina Sułkowice</t>
  </si>
  <si>
    <t>Przebudowa drogi wewnętrznej na odcinku I - w km od 00+000,00 do km 00+630,00, na odcinku II - w km od 01+502,00 do km 01+636,00, zlokalizowanej na działce nr ew. 621 w miejscowości Harbutowice, Gmina Sułkowice</t>
  </si>
  <si>
    <t>Przebudowa drogi gminnej 340573K w km od 0+390,00 do km 0+846,00 w miejscowości Mszana Dolna, powiat limanowski</t>
  </si>
  <si>
    <t>Przebudowa drogi gminnej nr 200476K w km od 0+000 do km 0+263 w miejscowości Rzepiennik Strzyżewski, Gmina Rzepiennik Strzyżewski</t>
  </si>
  <si>
    <t>Gmina Maków Podhalański</t>
  </si>
  <si>
    <t>suski</t>
  </si>
  <si>
    <t>Przebudowa drogi gminnej ul. Moniuszki nr 440745K w km 0+000,00 do 0+130,00 w miejscowości Maków Podhalański, Gmina Maków Podhalański</t>
  </si>
  <si>
    <t>Remont drogi gminnej nr 292893K na odcinku I w km od 0+045 do km 1+120, na odcinku II w km od 1+127 do km 2+507, na odcinku III w km od 2+518 do km 3+075 w miejscowości Milik, Gmina Muszyna</t>
  </si>
  <si>
    <t>Gmina Lubień</t>
  </si>
  <si>
    <t>Remont drogi gminnej Krzeczów Burmistrzowa nr K540163 odc. I od km 0+090 do km 0+420, odc. II od 0+550 do 1+160 w miejscowości Krzeczów</t>
  </si>
  <si>
    <t>30.03.2022 - 30.04.2023</t>
  </si>
  <si>
    <t>Gmina Stary Sącz</t>
  </si>
  <si>
    <t>Remont drogi gminnej 294287K "Skrudzina - Przez Wieś" w km od 0+300 do km 1+234 w miejscowości Skrudzina, Gmina Stary Sącz</t>
  </si>
  <si>
    <t>Remont drogi gminnej nr 471124K ul. Sowińskiego w km od 0+007 do 0+252,5 (odcinek I); w km od 0+276 do 0+665 (odcinek II) w miejscowości Kalwaria Zebrzydowska, Gmina Kalwaria Zebrzydowska</t>
  </si>
  <si>
    <t>Remont drogi gminnej nr 600057K - Wawrzeńczyce "Ścieszczany" odcinek w km 1+308 - 1+678,1 w miejscowości Wawrzeńczyce, Gmina Igołomia-Wawrzeńczyce</t>
  </si>
  <si>
    <t>Gmina Bochnia</t>
  </si>
  <si>
    <t>Remont drogi gminnej 581101K w km od 0+000 do km 0,360 w miejscowości Proszówki, Gmina Bochnia</t>
  </si>
  <si>
    <t>01.08.2022 - 18.11.2022</t>
  </si>
  <si>
    <t>Remont drogi gminnej 364547K ul. Słowackiego w km 0+000 do km 0+228,80 w miejscowości Rabka-Zdrój, Gmina Rabka-Zdrój</t>
  </si>
  <si>
    <t>Remont drogi gminnej 362698K ul. Zacisze na odcinku I w km 0+003,50 do km 0+096,00, na odcinku II w km 0+096 do km 0+194,15 w miejscowości Nowy Targ, Gmina Miasto Nowy Targ</t>
  </si>
  <si>
    <t>01.03.2022 - 30.09.2022</t>
  </si>
  <si>
    <t>Gmina Wieprz</t>
  </si>
  <si>
    <t>Przebudowa dróg gminnych 470613K w km od 1+206 do 1+651,15 ul. Kasztanowa w miejscowości Frydrychowice, Gmina Wieprz</t>
  </si>
  <si>
    <t>Remont drogi gminnej nr 200644K Ołpiny - Rożnowice w km 0+000 do 0+945 w miejscowości Ołpiny, Gmina Szerzyny</t>
  </si>
  <si>
    <t>Gmina Szczurowa</t>
  </si>
  <si>
    <t>Remont drogi gminnej Strzelce Małe - Barczków nr 250526K w km od 1+000,00 do 1+890,00 w miejscowości Barczków, Gmina Szczurowa</t>
  </si>
  <si>
    <t>01.06.2022 - 31.07.2022</t>
  </si>
  <si>
    <t>Gmina Kamionka Wielka</t>
  </si>
  <si>
    <t>Remont drogi gminnej nr 290922K w km od 0+160,00 do km 1+026,00 w miejscowości Kamionka Wielka, Gmina Kamionka Wielka</t>
  </si>
  <si>
    <t>01.06.2022 - 30.10.2022</t>
  </si>
  <si>
    <t>01.09.2022 - 01.10.2023</t>
  </si>
  <si>
    <t>Remont drogi gminnej nr 120137K na dz.ewid. nr 803 w km od 0+000 do 0+777 w miejscowości Kolbark, Gmina Klucze</t>
  </si>
  <si>
    <t>Gmina Czarny Dunajec</t>
  </si>
  <si>
    <t>Remont drogi gminnej "Do Cmentarza" K360424 na dz.nr ewid. 11000/1 w km 0+000 - 0+320 oraz w km 0+320 - 0+600 w miejscowości Chochołów</t>
  </si>
  <si>
    <t>02.05.2022 - 29.07.2022</t>
  </si>
  <si>
    <t>52/G/R/N5/2021</t>
  </si>
  <si>
    <t>Remont drogi gminnej nr 580497K Trzciana - Zarzecze /Łąki/ w km 0+000 - 0+204 w miejscowości Trzciana, Gmina Trzciana</t>
  </si>
  <si>
    <t xml:space="preserve">111/G/B/N5/2021 </t>
  </si>
  <si>
    <t xml:space="preserve">166/G/B/N5/2021 </t>
  </si>
  <si>
    <t>195/G/P/N5/2021</t>
  </si>
  <si>
    <t>62/G/P/N5/2021</t>
  </si>
  <si>
    <t>158/G/R/N5/2021</t>
  </si>
  <si>
    <t xml:space="preserve">133/G/R/N5/2021 </t>
  </si>
  <si>
    <t>80/G/R/N5/2021</t>
  </si>
  <si>
    <t xml:space="preserve">148/G/R/N5/2021 </t>
  </si>
  <si>
    <t>255/G/R/N5/2021</t>
  </si>
  <si>
    <t xml:space="preserve">164/G/R/N5/2021 </t>
  </si>
  <si>
    <t xml:space="preserve">136/G/R/N5/2021 </t>
  </si>
  <si>
    <t>186/G/R/N5/2021</t>
  </si>
  <si>
    <t>198/G/R/N5/2021</t>
  </si>
  <si>
    <t xml:space="preserve">141/G/B/N5/2021 </t>
  </si>
  <si>
    <t>202/G/P/N5/2021</t>
  </si>
  <si>
    <t xml:space="preserve">203/G/P/N5/2021 </t>
  </si>
  <si>
    <t>123/G/R/N5/2021</t>
  </si>
  <si>
    <t>122/G/R/N5/2021</t>
  </si>
  <si>
    <t xml:space="preserve">61/G/R/N5/2021 </t>
  </si>
  <si>
    <t xml:space="preserve">228/G/R/N5/2021 </t>
  </si>
  <si>
    <t>226/G/R/N5/2021</t>
  </si>
  <si>
    <t xml:space="preserve">138/G/R/N5/2021 </t>
  </si>
  <si>
    <t>54/G/R/N5/2021</t>
  </si>
  <si>
    <t xml:space="preserve">100/G/R/N5/2021 </t>
  </si>
  <si>
    <t>120/G/R/N5/2021</t>
  </si>
  <si>
    <t xml:space="preserve">140/G/R/N5/2021 </t>
  </si>
  <si>
    <t xml:space="preserve">58/G/R/N5/2021 </t>
  </si>
  <si>
    <t>151/G/R/N5/2021</t>
  </si>
  <si>
    <t>206/G/R/N5/2021</t>
  </si>
  <si>
    <t>260/G/R/N5/2021</t>
  </si>
  <si>
    <t>261/G/R/N5/2021</t>
  </si>
  <si>
    <t>254/G/R/N5/2021</t>
  </si>
  <si>
    <t>94/G/R/N5/2021</t>
  </si>
  <si>
    <t xml:space="preserve">92/G/R/N5/2021 </t>
  </si>
  <si>
    <t>48/G/R/N5/2021</t>
  </si>
  <si>
    <t>252/G/R/N5/2021</t>
  </si>
  <si>
    <t xml:space="preserve">93/G/R/N5/2021 </t>
  </si>
  <si>
    <t xml:space="preserve">91/G/R/N5/2021 </t>
  </si>
  <si>
    <t xml:space="preserve">99/G/R/N5/2021 </t>
  </si>
  <si>
    <t xml:space="preserve">220/G/P/N5/2021 </t>
  </si>
  <si>
    <t xml:space="preserve">112/G/P/N5/2021 </t>
  </si>
  <si>
    <t xml:space="preserve">134/G/R/N5/2021 </t>
  </si>
  <si>
    <t>117/G/R/N5/2021</t>
  </si>
  <si>
    <t>67/G/R/N5/2021</t>
  </si>
  <si>
    <t>250/G/R/N5/2021</t>
  </si>
  <si>
    <t xml:space="preserve">143/G/R/N5/2021 </t>
  </si>
  <si>
    <t xml:space="preserve">242/G/R/N5/2021 </t>
  </si>
  <si>
    <t xml:space="preserve">179/G/R/N5/2021 </t>
  </si>
  <si>
    <t xml:space="preserve">96/G/R/N5/2021 </t>
  </si>
  <si>
    <t xml:space="preserve">76/G/R/N5/2021 </t>
  </si>
  <si>
    <t>106/G/R/N5/2021</t>
  </si>
  <si>
    <t>107/G/R/N5/2021</t>
  </si>
  <si>
    <t xml:space="preserve">150/G/R/N5/2021 </t>
  </si>
  <si>
    <t>154/G/R/N5/2021</t>
  </si>
  <si>
    <t xml:space="preserve">127/G/R/N5/2021 </t>
  </si>
  <si>
    <t xml:space="preserve">173/G/R/N5/2021 </t>
  </si>
  <si>
    <t>159/G/R/N5/2021</t>
  </si>
  <si>
    <t>249/G/R/N5/2021</t>
  </si>
  <si>
    <t>231/G/R/N5/2021</t>
  </si>
  <si>
    <t xml:space="preserve">56/G/R/N5/2021 </t>
  </si>
  <si>
    <t>223/G/R/N5/2021</t>
  </si>
  <si>
    <t xml:space="preserve">171/G/R/N5/2021 </t>
  </si>
  <si>
    <t xml:space="preserve">222/G/R/N5/2021 </t>
  </si>
  <si>
    <t xml:space="preserve">174/G/R/N5/2021 </t>
  </si>
  <si>
    <t>259/G/B/N5/2021</t>
  </si>
  <si>
    <t>193/G/B/N5/2021</t>
  </si>
  <si>
    <t>262/G/R/N5/2021</t>
  </si>
  <si>
    <t>239/G/R/N5/2021</t>
  </si>
  <si>
    <t>256/G/R/N5/2021</t>
  </si>
  <si>
    <t>209/G/R/N5/2021</t>
  </si>
  <si>
    <t xml:space="preserve">115/G/R/N5/2021 </t>
  </si>
  <si>
    <t xml:space="preserve">181/G/R/N5/2021 </t>
  </si>
  <si>
    <t>230/G/R/N5/2021</t>
  </si>
  <si>
    <t xml:space="preserve">75/G/R/N5/2021 </t>
  </si>
  <si>
    <t>211/G/R/N5/2021</t>
  </si>
  <si>
    <t xml:space="preserve">113/G/P/N5/2021 </t>
  </si>
  <si>
    <t xml:space="preserve">182/G/R/N5/2021 </t>
  </si>
  <si>
    <t>153/G/R/N5/2021</t>
  </si>
  <si>
    <t>201/G/R/N5/2021</t>
  </si>
  <si>
    <t>71/G/R/N5/2021</t>
  </si>
  <si>
    <t xml:space="preserve">77/G/R/N5/2021 </t>
  </si>
  <si>
    <t xml:space="preserve">78/G/R/N5/2021 </t>
  </si>
  <si>
    <t>119/G/R/N5/2021</t>
  </si>
  <si>
    <t>199/G/R/N5/2021</t>
  </si>
  <si>
    <t xml:space="preserve">72/G/R/N5/2021 </t>
  </si>
  <si>
    <t>229/G/R/N5/2021</t>
  </si>
  <si>
    <t>68/G/R/N5/2021</t>
  </si>
  <si>
    <t xml:space="preserve">196/G/R/N5/2021 </t>
  </si>
  <si>
    <t xml:space="preserve">65/G/R/N5/2021 </t>
  </si>
  <si>
    <t xml:space="preserve">248/G/R/N5/2021 </t>
  </si>
  <si>
    <t>121/G/R/N5/2021</t>
  </si>
  <si>
    <t xml:space="preserve">197/G/R/N5/2021 </t>
  </si>
  <si>
    <t>70/G/R/N5/2021</t>
  </si>
  <si>
    <t>210/G/R/N5/2021</t>
  </si>
  <si>
    <t>200/G/R/N5/2021</t>
  </si>
  <si>
    <t xml:space="preserve">66/G/R/N5/2021 </t>
  </si>
  <si>
    <t xml:space="preserve">131/G/R/N5/2021 </t>
  </si>
  <si>
    <t xml:space="preserve">114/G/R/N5/2021 </t>
  </si>
  <si>
    <t xml:space="preserve">227/G/R/N5/2021 </t>
  </si>
  <si>
    <t xml:space="preserve">79/G/R/N5/2021 </t>
  </si>
  <si>
    <t>69/G/R/N5/2021</t>
  </si>
  <si>
    <t>Rozbudowa drogi gminnej nr 340174K Jodłownik - Sadek w km 2+210,00 - 3+180,70 w miejscowości Sadek, Gmina Jodłownik</t>
  </si>
  <si>
    <t>Gmina Nowy Targ</t>
  </si>
  <si>
    <t>Rozbudowa drogi gminnej nr K363455 ul. Gorczańska w km od 00+291 do km 00+689 w miejscowości Ostrowsko, Gmina Nowy Targ</t>
  </si>
  <si>
    <t xml:space="preserve">Gmina Brzeszcze </t>
  </si>
  <si>
    <t>Przebudowa drogi gminnej nr 510513K ul. Daszyńskiego od km 0+554,4 do km 1+047,9 w miejscowości Brzeszcze, Gmina Brzeszcze</t>
  </si>
  <si>
    <t>05.05.2022 - 31.07.2023</t>
  </si>
  <si>
    <t>Przebudowa drogi gminnej 250892K w km od 0+016 do km 0+492 w miejscowości Wola Dębińska, Gmina Dębno, Powiat Brzeski</t>
  </si>
  <si>
    <t>Remont drogi gminnej 291268K w km od 0+000 do km 1+445,00 w miejscowości Koniuszowa, Gmina Korzenna</t>
  </si>
  <si>
    <t>06.05.2022 - 30.11.2022</t>
  </si>
  <si>
    <t>Gmina Ropa</t>
  </si>
  <si>
    <t>Remont drogi gminnej 271215K Księże, w km od 0+945 do km 1+625 w miejscowości Ropa, Gmina Ropa</t>
  </si>
  <si>
    <t>01.06.2022 - 30.09.2022</t>
  </si>
  <si>
    <t>Remont drogi gminnej nr 290931K na odcinku I - w km od 0+000,00 do km 0+028,00, na odcinku II - w km od 0+031,00 do km 0+501,00 w miejscowości Kamionka Wielka, Gmina Kamionka Wielka</t>
  </si>
  <si>
    <t>Remont drogi gminnej nr 470551K w km od 0+085 do km 0+555 wraz z przebudową skrzyżowania ul. Gotowizna (w km od 0+320 do km 0+358) w miejscowości Wadowice, Gmina Wadowice</t>
  </si>
  <si>
    <t>05.05.2022 - 30.09.2022</t>
  </si>
  <si>
    <t>Remont drogi gminnej "Pytloców Brzyzek" K360015 na dz.nr ewid. 17850/3 w km 0+000 - 0+370 w miejscowości Ciche</t>
  </si>
  <si>
    <t>Remont drogi gminnej Skomielna Biała - Ośrodek zdrowia Banasiowa nr K540174 w km 0+860 do km 1+190 w miejscowości Skomielna Biała</t>
  </si>
  <si>
    <t>Remont drogi gminnej ul. Jasnej na odcinku A-B w km 0+000,00 do 0+325,60 w miejscowości Olkusz, Gmina Olkusz</t>
  </si>
  <si>
    <t>Remont drogi gminnej 160671K w km od 0+228 do km 0+378 w miejscowości Nowe Brzesko, Gmina Nowe Brzesko</t>
  </si>
  <si>
    <t>Gmina Łącko</t>
  </si>
  <si>
    <t>Odbudowa drogi gminnej nr 291649K "Obidza - Bukowy Potok" w km od 0+000 do km 0+950 (z wyłączeniem odcinka w km 0+480 - 0+660) w miejscowości Obidza, Gmina Łącko</t>
  </si>
  <si>
    <t>Gmina Proszowice</t>
  </si>
  <si>
    <t>Przebudowa drogi gminnej nr 160210K w km od 0+027,1 do km 0+070,2 w miejscowości Proszowice, Gmina Proszowice</t>
  </si>
  <si>
    <t>Przebudowa drogi gminnej Os. Szczurkówka nr 440821K w km 0+000 do 0+026,9 wraz z rozbiórką i budową mostu w km 0+011,00 - 0+021,1 i przebudową skrzyżowania z drogą powiatową nr 1688K w miejscowości Żarnówka, Gmina Maków Podhalański</t>
  </si>
  <si>
    <t>Gmina Limanowa</t>
  </si>
  <si>
    <t>Remont drogi gminnej nr 340486K Stare Rybie - Zimna Woda - Podgórze na odcinku I - w km od 0+000 do km 2+876,10 (z wyłączeniem odcinka w km od 0+028 do 0+039), na odcinku II - w km od 3+300 do km 3+948,64 w miejscowości Nowe Rybie, Stare Rybie, Gmina Limanowa</t>
  </si>
  <si>
    <t>Remont drogi gminnej nr 340487K Wysokie - Gostwica - Długołęka w km od 0+000 do km 2+504,46 w miejscowości Wysokie, Gmina Limanowa</t>
  </si>
  <si>
    <t>Remont drogi gminnej nr 250692K w km 0+000,00 do 1+690,00 w miejscowości Mokrzyska, Gmina Brzesko</t>
  </si>
  <si>
    <t>20.03.2022 - 31.12.2022</t>
  </si>
  <si>
    <t>Gmina Tuchów</t>
  </si>
  <si>
    <t>Remont drogi gminnej K201842 (ul. Wołowa) w Tuchowie od km 0+000 - 1+556 oraz 0+581-1+640 długości 1640 m</t>
  </si>
  <si>
    <t>Remont drogi gminnej nr 201651K od km 0+000 do km 1+609 w miejscowości Zawada, Gmina Tarnów</t>
  </si>
  <si>
    <t>01.05.2022 - 31.08.2022</t>
  </si>
  <si>
    <t>Remont drogi gminnej 294238K "Gaboń - Wilkówka - z Osiedla Wola" w km od 0+000 do km 1+430 w miejscowości Gaboń, Gmina Stary Sącz</t>
  </si>
  <si>
    <t>Remont drogi gminnej nr 580852K Stary Wiśnicz - Zagrody w miejscowości Stary Wiśnicz w km 0+000 - 1+419, Gmina Nowy Wiśnicz</t>
  </si>
  <si>
    <t>Remont drogi gminnej 601651K w km od 0+000 do 0+765 w miejscowości Rudawa, Gmina Zabierzów</t>
  </si>
  <si>
    <t>Miasto Limanowa</t>
  </si>
  <si>
    <t>Remont drogi gminnej nr 340288K - ul. Grunwaldzkiej w km 0+043 - 0+711 w miejscowości Limanowa, Miasto Limanowa</t>
  </si>
  <si>
    <t>15.04.2022 - 30.11.2022</t>
  </si>
  <si>
    <t>Remont drogi gminnej nr 291883K "Maszkowice - Pod Górę" w km od 0+020 do km 0+670 w miejscowości Maszkowice, Gmina Łącko</t>
  </si>
  <si>
    <t>Remont drogi gminnej Górka za boiskiem nr 250801K w km od 0+000,00 do 0+598,00 w miejscowości Górka, Gmina Szczurowa</t>
  </si>
  <si>
    <t>Gmina Grybów</t>
  </si>
  <si>
    <t>Gmina Zawoja</t>
  </si>
  <si>
    <t>Remont drogi gminnej Zawoja Zalas - Przysłop nr 441033K w km od 0+405,3 - 0+741,3 oraz od 2+023-2+170 w miejscowości Zawoja i Grzechynia w Gminie Zawoja i w Gminie Maków Podhalański</t>
  </si>
  <si>
    <t>Gmina Gdów</t>
  </si>
  <si>
    <t>Remont drogi gminnej nr 560153K w km od 0+168,00 do km 0+524,00 w miejscowości Świątniki Dolne i Szczytniki, Gmina Gdów</t>
  </si>
  <si>
    <t>Remont drogi gminnej nr 560154K w km od 0+000 do km 0+356 w miejscowości Szczytniki, Gmina Gdów</t>
  </si>
  <si>
    <t>Remont drogi gminnej "Klecza Dolna - Zarąbki" na odcinku I - w km od 0+010 do km 2+217 oraz na odcinku II - w km od 2+238 do km 2+591 w miejscowości Klecza Dolna, Gmina Wadowice</t>
  </si>
  <si>
    <t>05.05.2022 - 25.07.2022</t>
  </si>
  <si>
    <t>Gmina Sułoszowa</t>
  </si>
  <si>
    <t>Remont drogi gminnej 601325K w km od 0+000,00 do km 1+206 (sięgacz w km 0+000,00 do km 0+159,15) w miejscowości Sułoszowa, Gmina Sułoszowa</t>
  </si>
  <si>
    <t>01.05.2022-30.11.2022</t>
  </si>
  <si>
    <t>Gmina Jerzmanowice-Przeginia</t>
  </si>
  <si>
    <t>Remont drogi publicznej gminnej 600210K w km 0+000 do km 1+296,9 położonej na dz.nr 1085/1 w miejscowości Sąspów, Gmina Jerzmanowice-Przeginia</t>
  </si>
  <si>
    <t>01.08.2022 - 31.07.2023</t>
  </si>
  <si>
    <t>Remont drogi gminnej 581104K w km od 0+010 do km 1+008 w miejscowości Siedlec, Gmina Bochnia</t>
  </si>
  <si>
    <t>Gmina Brzeźnica</t>
  </si>
  <si>
    <t>Remont drogi gminnej nr 470040K na odcinku I - w km 0+006 do km 0+392, na odcinku II - w km od 0+400 do km 0+913 w miejscowości Sosnowice, Gmina Brzeźnica</t>
  </si>
  <si>
    <t>01.06.2022 - 31.10.2022</t>
  </si>
  <si>
    <t>Remont drogi gminnej 601327K w km od 0+000,00 do km 0+806,75 w miejscowości Sułoszowa, Gmina Sułoszowa</t>
  </si>
  <si>
    <t>Remont drogi publicznej gminnej 600166K zlokalizowanej na dz.nr 329 w miejscowości Gotkowice obr. 0002, Gmina Jerzmanowice-Przeginia</t>
  </si>
  <si>
    <t>Gmina Skała</t>
  </si>
  <si>
    <t>Remont drogi gminnej 604507K w km od 00+000 do km 00+262 w miejscowości Skała, Gmina Skała</t>
  </si>
  <si>
    <t>Przebudowa drogi gminnej nr 200257K na odcinku I - w km od 2+550,00 do km 3+330,50, na odcinku II - w km od 3+331,00 do km 4+280,00 w miejscowości Wola Lubecka, Gmina Ryglice</t>
  </si>
  <si>
    <t>Gmina Laskowa</t>
  </si>
  <si>
    <t>Przebudowa drogi gminnej nr 2530011 Jeziernik na odcinku I - w km od 0+028 do km 0+040, na odcinku II w km od 0+282 do km 0+645 w miejscowości Laskowa, Gmina Laskowa</t>
  </si>
  <si>
    <t>15.06.2022 - 30.09.2022</t>
  </si>
  <si>
    <t>Remont drogi gminnej nr 540260K w km 00+000 do km 2+310 w miejscowości Głogoczów, Gmina Myślenice</t>
  </si>
  <si>
    <t>16.05.2022 - 12.12.2022</t>
  </si>
  <si>
    <t>Remont drogi gminnej 604309K na odcinku I - w km od 1+125 do km 2+055, na odcinku II - w km od 2+391 do km 3+630, na odcinku III w km od 3+725 do km 3+775 w miejscowości Łętowe, Gmina Mszana Dolna</t>
  </si>
  <si>
    <t>01.05.2022 - 30.06.2024</t>
  </si>
  <si>
    <t>Gmina Radgoszcz</t>
  </si>
  <si>
    <t>dąbrowski</t>
  </si>
  <si>
    <t>Remont drogi gminnej nr K180225 ul. Kościelna w km od 0+000 do km 1+710 w miejscowości Radgoszcz, Gmina Radgoszcz</t>
  </si>
  <si>
    <t>Gmina Stryszów</t>
  </si>
  <si>
    <t>Remont drogi gminnej 470341K Łękawica Figura - Rola Szkoła w km od 0+000 do km 1+660 w miejscowości Łękawica, Gmina Stryszów</t>
  </si>
  <si>
    <t>01.04.2022 - 31.08.2022</t>
  </si>
  <si>
    <t>Remont drogi gminnej nr 292647K Skrzętla - Kłodne w km od 0+015,00 do km 1+595,00 w miejscowości Skrzętla - Rojówka, Gmina Łososina Dolna</t>
  </si>
  <si>
    <t>Remont drogi gminnej 470306K na odcinku I - w km od 00+000 do km 01+223, na odcinku II - w km od 01+240 do km 01+306, na odcinku III - w km od 01+311 do km 01+554 w miejscowości Spytkowice, Gmina Spytkowice</t>
  </si>
  <si>
    <t>01.04.2022 - 31.07.2022</t>
  </si>
  <si>
    <t>Remont drogi gminnej 120587K w km od 1+450 do km 2+950 w miejscowości Chełm i Zasępiec, Gmina Wolbrom</t>
  </si>
  <si>
    <t>01.08.2022 - 01.06.2025</t>
  </si>
  <si>
    <t>Remont drogi gminnej K601560 w km od 3+061 do 4+466 w miejscowościach Przybysławice i Garliczka, w gminie Zielonki</t>
  </si>
  <si>
    <t>Remont drogi gminnej 270707K w km od 0+174 do km 1+523 w miejscowości Kryg, Gmina Lipinki</t>
  </si>
  <si>
    <t>Gmina Słomniki</t>
  </si>
  <si>
    <t>Remont drogi gminnej nr 601775K "Czechy Podgórne - Niegardów Kolonia" w km 0+000 - 1+211 w miejscowości Czechy, Gmina Słomniki</t>
  </si>
  <si>
    <t>01.06.2022 - 31.08.2022</t>
  </si>
  <si>
    <t>Remont drogi gminnej nr 601765K w km 0+000 - 0+826 oraz w km 0+830 - 1+140 w miejscowości Prandocin Wysiołek, Gmina Słomniki</t>
  </si>
  <si>
    <t>Remont drogi gminnej nr 294449K "Ptaszkowa - Brzegówka - Lassowa" w km 0+018 - 1+144,00 w miejscowości Ptaszkowa, Gmina Grybów</t>
  </si>
  <si>
    <t>Gmina Chełmiec</t>
  </si>
  <si>
    <t>Remont drogi gminnej 290313K w km od 0+000 do km 1+075 w miejscowości Paszyn, Gmina Chełmiec</t>
  </si>
  <si>
    <t>Gmina Kozłów</t>
  </si>
  <si>
    <t>Remont drogi gminnej K140170 w km od 0+810 do km 1+810, w miejscowości Przysieka, Gmina Kozłów</t>
  </si>
  <si>
    <t>Gmina Lipnica Wielka</t>
  </si>
  <si>
    <t>Remont drogi gminnej K604622 w km od 0+000 do 0+913 w miejscowości Kiczory, Gmina Lipnica Wielka</t>
  </si>
  <si>
    <t>Gmina Łabowa</t>
  </si>
  <si>
    <t>Remont drogi gminnej nr 291616K w km 0+004 - 0+778 w miejscowości Łabowa, Gmina Łabowa</t>
  </si>
  <si>
    <t>Remont drogi gminnej 470345K Stronie Kamionka w km od 0+102 do km 0+795 w miejscowości Stronie i Zakrzów, Gmina Stryszów</t>
  </si>
  <si>
    <t>Gmina Wierzchosławice</t>
  </si>
  <si>
    <t>Remont drogi gminnej nr K202543 Łętowice - Las w km 0+000 - 0+462 w miejscowości Łętowice, Gmina Wierzchosławice</t>
  </si>
  <si>
    <t>Gmina Gnojnik</t>
  </si>
  <si>
    <t>Remont drogi gminnej nr 250376K w km: odcinek I 0+000 - 0+395 w miejscowości Lewniowa, Gmina Gnojnik, Powiat Brzeski</t>
  </si>
  <si>
    <t>Gmina Pleśna</t>
  </si>
  <si>
    <t>Remont drogi gminnej 200107K w km od 0+000 do 0+390 w miejscowości Świebodzin, Gmina Pleśna</t>
  </si>
  <si>
    <t>01.08.2022 - 31.12.2022</t>
  </si>
  <si>
    <t>Remont drogi gminnej 364880K w km od 0+030 do km 0+316 w miejscowości Szczawnica, Gmina Szczawnica</t>
  </si>
  <si>
    <t>01.01.2022 - 30.11.2022</t>
  </si>
  <si>
    <t>Remont drogi gminnej 200104K w km od 0+000 do 0+260 w miejscowości Łowczówek, Gmina Pleśna</t>
  </si>
  <si>
    <t>01.06.2022 - 31.12.2022</t>
  </si>
  <si>
    <t>Remont drogi gminnej K604605 w km od 0+000 do 0+175 w miejscowości Lipnica Wielka, Gmina Lipnica Wielka</t>
  </si>
  <si>
    <t>Rozbudowa drogi gminnej 560837K w km od 0+000,00 do km 0+272,64 w miejscowości Wieliczka, Gmina Wieliczka</t>
  </si>
  <si>
    <t>Gmina Chełmek</t>
  </si>
  <si>
    <t>Przebudowa drogi gminnej nr 510960K w km od 0+000,00 do km 0+189,82 w miejscowości Gorzów, Gmina Chełmek</t>
  </si>
  <si>
    <t>Gmina Moszczenica</t>
  </si>
  <si>
    <t>Remont drogi gminnej K270861 Moszczenica - Berdechów w m. Moszczenica, Gmina Moszczenica</t>
  </si>
  <si>
    <t>Gmina Mucharz</t>
  </si>
  <si>
    <t>Remont drogi gminnej K470216 w km od 00+000 do km 00+800 w miejscowości Jaszczurowa, Gmina Mucharz</t>
  </si>
  <si>
    <t>Gmina Zembrzyce</t>
  </si>
  <si>
    <t>Remont drogi gminnej nr 441201K "Tarnawska Góra" w km od 0+555,90 do km 1+210,20 w miejscowości Tarnawa Dolna, Gmina Zembrzyce</t>
  </si>
  <si>
    <t>01.08.2022 - 31.10.2022</t>
  </si>
  <si>
    <t>Gmina Tymbark</t>
  </si>
  <si>
    <t>Remont drogi gminnej nr 340801K w km 0+006 do km 0+568 w miejscowości Podłopień, Gmina Tymbark</t>
  </si>
  <si>
    <t>05.05.2022 - 31.08.2022</t>
  </si>
  <si>
    <t>Gmina Trzyciąż</t>
  </si>
  <si>
    <t>Remont drogi gminnej K120464 w km od 0+000 do km 0+470, w miejscowości Imbramowice, Gmina Trzyciąż</t>
  </si>
  <si>
    <t>Remont drogi gminnej nr K202503 - odcinek I w km 0+000 - 0+462, odcinek II (sięgacz) w km 0+186 (od km 0+000 - do km 0+143), odcinek III (sięgacz) w km 0+315 (od km 0+000 do km 0+041) w miejscowości Wierzchosławice, Gmina Wierzchosławice</t>
  </si>
  <si>
    <t>Remont drogi gminnej 270716K w km od 0+373 do km 0+755 w miejscowości Pagorzyna, Gmina Lipinki</t>
  </si>
  <si>
    <t>Gmina Bystra-Sidzina</t>
  </si>
  <si>
    <t>Remont drogi gminnej K440283 Sidzina - Plebańska (Do szkoły) w km 0+000 - 0+137 w miejscowości Sidzina, Gmina Bystra-Sidzina</t>
  </si>
  <si>
    <t>01.09.2022 - 15.12.2022</t>
  </si>
  <si>
    <t>Przebudowa i rozbudowa drogi gminnej nr 604489K "Krosna - Wajdówka - Przylaski" w km od 0+000 do 0+100 (budowa przepustu w km 0+007,48) w miejscowości Krosna, Gmina Laskowa</t>
  </si>
  <si>
    <t>15.06.2022 - 30.10.2022</t>
  </si>
  <si>
    <t>Remont drogi gminnej K120487 w km od 0+785 do km 1+685 oraz w km od 2+110 do km 2+700, w miejscowości Zadroże Gmina Trzyciąż</t>
  </si>
  <si>
    <t>Remont drogi gminnej 290319K w km od 0+000 do km 1+480 w miejscowości Paszyn, Gmina Chełmiec</t>
  </si>
  <si>
    <t>Remont drogi gminnej nr 160236K w km od 0+000 do km 1+000 w miejscowości Stogniowice, Górka Stogniowska, Gmina Proszowice</t>
  </si>
  <si>
    <t>Gmina Olesno</t>
  </si>
  <si>
    <t>Remont drogi gminnej nr 180175K w km 3+200 - 4+085 w miejscowości Oleśnica</t>
  </si>
  <si>
    <t>Gmina Uście Gorlickie</t>
  </si>
  <si>
    <t>04.05.2022-30.06.2022</t>
  </si>
  <si>
    <t>Gmina Łukowica</t>
  </si>
  <si>
    <t>Remont drogi gminnej 340521K w miejscowości Roztoka w km od 0+700,76 do km 0+989,95, Gmina Łukowica</t>
  </si>
  <si>
    <t>01.04.2022 - 30.10.2022</t>
  </si>
  <si>
    <t>Gmina Radziemice</t>
  </si>
  <si>
    <t>Remont drogi gminnej Przemęczany - Rzeka nr 160385K działki ewidencyjne 533/1, 534/3 km 0+000 do 0+110; 0+123 - 0+198 w miejscowości Przemęczany</t>
  </si>
  <si>
    <t>30.04.2022 - 31.12.2022</t>
  </si>
  <si>
    <t>Remont drogi gminnej K270873 Staszkówka - Mentlówka w m. Staszkówka, Gmina Moszczenica</t>
  </si>
  <si>
    <t>Gmina Wojnicz</t>
  </si>
  <si>
    <t>Remont drogi gminnej 203265K w km od 0+355 do 1+755 w miejscowości Łukanowice, Gmina Wojnicz</t>
  </si>
  <si>
    <t>Remont drogi gminnej nr K180221 ul. Mały Dwór w km od 0+000 do km 1+398 w miejscowości Radgoszcz, Gmina Radgoszcz</t>
  </si>
  <si>
    <t>Gmina Koszyce</t>
  </si>
  <si>
    <t>Remont drogi gminnej nr 160084K w km od 0+000,00 do km 1+065,00 w miejscowości Książnice Wielkie, Gmina Koszyce</t>
  </si>
  <si>
    <t>04.04.2022 - 31.08.2022</t>
  </si>
  <si>
    <t>Gmina Dąbrowa Tarnowska</t>
  </si>
  <si>
    <t>Remont drogi gminnej nr 180056K "Nieczajna Górna - Gruszów Wielki" w km 0+000 - 0+995 w miejscowości Nieczajna Górna i Gruszów Wielki, Gmina Dąbrowa Tarnowska</t>
  </si>
  <si>
    <t>01.08.2022 - 30.11.2022</t>
  </si>
  <si>
    <t>Gmina Tomice</t>
  </si>
  <si>
    <t>Remont drogi gminnej ul. Górna nr 470406K w km od 0+000,00 do 0+990,00 w miejscowości Zygodowice i Woźniki, Gmina Tomice</t>
  </si>
  <si>
    <t>Remont drogi gminnej nr 340306K - ul. Leśnej w km 0+145 - 1+080 w miejscowości Limanowa, Miasto Limanowa</t>
  </si>
  <si>
    <t>Remont drogi gminnej nr 160034K w km od 0+000,00 do km 0+935,00 w miejscowości Biskupice i Modrzany, Gmina Koszyce</t>
  </si>
  <si>
    <t>Remont drogi gminnej nr 180186K w km 0+000 - 0+880 w miejscowości Wielopole - Bucze</t>
  </si>
  <si>
    <t>Remont drogi gminnej nr 441232K "Pilchówka" w km od 0+037,00 do km 0+757,00 w miejscowości Zembrzyce, Gmina Zembrzyce</t>
  </si>
  <si>
    <t>01.08.2022 - 31.10.2023</t>
  </si>
  <si>
    <t>Remont drogi gminnej Przemęczany - Zbiorniki nr 160387K działka ewidencyjna 525 km 1+310 - 1+920 w miejscowości Przemęczany</t>
  </si>
  <si>
    <t>Remont drogi gminnej nr 180515K "Smęgorzów - Droga do Stadionu" w km 0+000 - 0+590 w miejscowości Smęgorzów, Gmina Dąbrowa Tarnowska</t>
  </si>
  <si>
    <t>Remont drogi gminnej Końcówka w km od 0+000,00 do km 0+760,00 w miejscowości Harbutowice, Gmina Sułkowice</t>
  </si>
  <si>
    <t>Remont drogi gminnej nr 340803K w km 0+049 - km 0+306 w miejscowości Podłopień, Gmina Tymbark</t>
  </si>
  <si>
    <t>Remont drogi gminnej K201849 (ul. Konopnicka) w Tuchowie od km 0+000 - 0+500 długości 500 m</t>
  </si>
  <si>
    <t>Remont drogi gminnej 271228K Smakówka, w km od 0+000 do km 0+390 w miejscowości Ropa, Gmina Ropa</t>
  </si>
  <si>
    <t>Gmina Gręboszów</t>
  </si>
  <si>
    <t>Remont drogi gminnej K180123 w km od 0+000 - 0+329 w miejscowości Żelichów, Gmina Gręboszów</t>
  </si>
  <si>
    <t>29/P/P/N5/2021</t>
  </si>
  <si>
    <t>Przebudowa drogi powiatowej 1074K w km od 0+000 do km 2+552 w miejscowości Żurada, Powiat Olkuski</t>
  </si>
  <si>
    <t>01.02.2022 - 30.09.2023</t>
  </si>
  <si>
    <t>12/P/R/N5/2021</t>
  </si>
  <si>
    <t>35/P/R/N5/2021</t>
  </si>
  <si>
    <t>31/P/B/N5/2021</t>
  </si>
  <si>
    <t>10/P/B/N5/2021</t>
  </si>
  <si>
    <t>24/P/P/N5/2021</t>
  </si>
  <si>
    <t>43/P/P/N5/2021</t>
  </si>
  <si>
    <t>42/P/P/N5/2021</t>
  </si>
  <si>
    <t>8/P/R/N5/2021</t>
  </si>
  <si>
    <t>18/P/P/N5/2021</t>
  </si>
  <si>
    <t>30/P/P/N5/2021</t>
  </si>
  <si>
    <t>44/P/P/N5/2021</t>
  </si>
  <si>
    <t>27/P/R/N5/2021</t>
  </si>
  <si>
    <t>34/P/R/N5/2021</t>
  </si>
  <si>
    <t>16/P/P/N5/2021</t>
  </si>
  <si>
    <t>19/P/R/N5/2021</t>
  </si>
  <si>
    <t>Remont drogi powiatowej nr 2133K w km od 0+008 do km 4+056 w miejscowościach Januszowice, Korzkiew, Grębynice, Maszyce, Powiat Krakowski</t>
  </si>
  <si>
    <t>03.01.2022 - 30.12.2022</t>
  </si>
  <si>
    <t>Remont drogi powiatowej nr 1689K Budzów - Trzebunia - Stróża długości  1506,5 mb na odcinku w km 10+123,50 do km 11+630,00 w miejscowości Bieńkówka, Powiat Suski</t>
  </si>
  <si>
    <t>Rozbudowa drogi powiatowej 1842K ul. Św. Jana Kantego w km od 0+851,00 do km 1+695,00 w miejscowości Kęty, Powiat Oświęcimski</t>
  </si>
  <si>
    <t>Rozbudowa drogi powiatowej nr 1498K Ropa - Wysowa Zdrój - Blechnarka - Granica Państwa w km od 23+733,00 do km 23+765,00 (obiekt mostowy w km 23+744,08 do km 23+757,31) w miejscowości Wysowa Zdrój, Powiat Gorlicki</t>
  </si>
  <si>
    <t>Przebudowa drogi powiatowej nr 1676K Lipnica Wielka - Przywarówka w km od 5+970,00 do km 8+800,00 w miejscowości Lipnica Wielka, Powiat Nowotarski / Gmina Lipnica Wielka</t>
  </si>
  <si>
    <t>14.03.2022 - 16.12.2023</t>
  </si>
  <si>
    <t>Przebudowa drogi powiatowej nr 1782K w km 4+090,00 do km 6+783,00 w miejscowościach Wysoka i Stanisław Górny, Powiat Wadowicki</t>
  </si>
  <si>
    <t>01.06.2022 - 30.10.2023</t>
  </si>
  <si>
    <t>Przebudowa drogi powiatowej nr 1707K w km 2+116,00 do km 2+984,00 w miejscowości Lanckorona, Powiat Wadowicki</t>
  </si>
  <si>
    <t>Remont drogi powiatowej nr 1507K Szymbark - Bystra - Szalowa w km od 0+272 do km 0+344 (obiekt mostowy w km 0+281,6 do km 0+339) w miejscowości Szymbark, Powiat Gorlicki</t>
  </si>
  <si>
    <t>Przebudowa drogi powiatowej nr 1239K w km od 0+000 do km 6+952,98 w miejscowości Falniów, Biskupice, Jaksice, Kamieńczyce, Komorów, Powiat Miechowski</t>
  </si>
  <si>
    <t>Przebudowa drogi powiatowej 1859K ul. Karolina w km od 0+604,32 do km 2+555,73 w miejscowości Osiek, Powiat Oświęcimski</t>
  </si>
  <si>
    <t>01.06.2022 - 31.08.2023</t>
  </si>
  <si>
    <t>Przebudowa drogi powiatowej nr 2027K od km 3+050,00 do km 4+042,50 (obiekt mostowy w km 3+911,20) w miejscowości Koźmice Wielkie, Powiat Wielicki</t>
  </si>
  <si>
    <t>Remont drogi powiatowej 1155K na odcinku I - w km od 0+000 do km 4+450, na odcinku II - w km od 6+633 do km 7+728, w miejscowościach Tarnawa i Imbramowice, Powiat Olkuski</t>
  </si>
  <si>
    <t>Remont drogi powiatowej nr 1692K Zawoja - Podpolice - Sucha Góra na odcinki I w km od 0+000,00 do km 1+637,00, na odcinku II w km od 1+900,00 do km 2+210,00 w miejscowości Zawoja, Powiat Suski</t>
  </si>
  <si>
    <t>Przebudowa drogi powiatowej nr 1172K w km od 8+910 do km 10+480 w miejscowości Wysocice, Powiat Miechowski</t>
  </si>
  <si>
    <t>Remont drogi powiatowej nr K1685 na odcinku I - w km od 0+090 do km 2+850, na odcinku II - w km od 4+210 do km 4+950, na odcinku III - w km od 6+070 do km 6+590 w miejscowości Pcim, Krzczonów, Tokarnia, Powiat Myślenicki</t>
  </si>
  <si>
    <t>22/P/P/N5/2021</t>
  </si>
  <si>
    <t>1/P/P/N5/2021</t>
  </si>
  <si>
    <t>14/P/R/N5/2021</t>
  </si>
  <si>
    <t>39/P/B/N5/2021</t>
  </si>
  <si>
    <t>15/P/R/N5/2021</t>
  </si>
  <si>
    <t>37/P/R/N5/2021</t>
  </si>
  <si>
    <t>25/P/B/N5/2021</t>
  </si>
  <si>
    <t>Przebudowa drogi powiatowej 1567K Nowy Sącz - Wojnarowa - Wilczyska na odcinku I - w km od 3+435 do km 5+541, na odcinku II - w km od 6+900 do km 10+341 w miejscowości Naściszowa, Librantowa, Łęka, Powiat Nowosądecki</t>
  </si>
  <si>
    <t>Przebudowa drogi powiatowej nr 2087K w km od 1+096,00 do km 1+689,97 w miejscowości Rzezawa, Powiat Bocheński</t>
  </si>
  <si>
    <t>Remont drogi powiatowej nr 1629K Mszana Dolna - Hucisko w km od 0+050 do km 5+254 w miejscowości Mszana Dolna, Podobin, Niedźwiedź, Powiat Limanowski</t>
  </si>
  <si>
    <t>Rozbudowa drogi powiatowej nr 1356K w km od 0+842,00 do km 1+431,00 - odcinek 1 ul. Braci Saków w km od 0+000,00 do km 0+452,25, odcinek 2 ul. Okrężna w km 0+000,00 do 0+137,26, budowa skrzyżowania o ruchu okrężnym z drogą powiatową nr 1357K w km 0+979,00 - odcinek 3 ul. Braci Saków w km od 0+000,00 do km 0+114,82 wraz z budową oświetlenia ulicznego, kanału technologicznego, kanalizacji deszczowej i przebudową niezbędnej infrastruktury w miejscowości Tarnów, Miasto Tarnów</t>
  </si>
  <si>
    <t>Remont drogi powiatowej nr 1614K Słopnice - Chyszówki - Jurków w km od 0+000 do km 10+507 (obiekty mostowe w km 4+331, 8+622, 9+101, 9+781, 10+437) w miejscowości Słopnice, Chyszówki i Jurków, Powiat Limanowski</t>
  </si>
  <si>
    <t>01.07.2022 - 30.11.2023</t>
  </si>
  <si>
    <t>Remont drogi powiatowej nr 1330K Czyżów - Gorzyce - Kłyż w km: odc. I: od km 0+006 do km 2+689, odc. II: od km 4+766 do km 6+763 w miejscowości Czyżów, Gorzyce, Kłyż - Powiat Tarnowski</t>
  </si>
  <si>
    <t>01.03.2022 - 30.12.2022</t>
  </si>
  <si>
    <t>Rozbudowa drogi powiatowej nr 1667K Rabka Zdrój - Ponice na odcinku I - w km od 3+225,63 do km 4+514,15, na odcinku II - w km od 5+518,00 do km 5+718,91 w miejscowości Ponice, Powiat Nowotarski / Gmina Rabka Zdrój</t>
  </si>
  <si>
    <t>14.03.2022 - 16.12.2022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</si>
  <si>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 rok 2022</t>
    </r>
  </si>
  <si>
    <t>01.08.2022 - 30.11.2024</t>
  </si>
  <si>
    <t>15.07.2022 - 30.04.2024</t>
  </si>
  <si>
    <t>01.04.2022-31.10.2022</t>
  </si>
  <si>
    <t>15.06.2022 - 16.12.2025</t>
  </si>
  <si>
    <t>14.03.2022 - 27.11.2024</t>
  </si>
  <si>
    <t>01.01.2022 - 30.06.2024</t>
  </si>
  <si>
    <t>01.01.2022 - 30.05.2024</t>
  </si>
  <si>
    <t>01.07.2022 - 31.07.2024</t>
  </si>
  <si>
    <t>30.04.2022 - 30.05.2024</t>
  </si>
  <si>
    <t>01.02.2022 - 30.05.2024</t>
  </si>
  <si>
    <t>01.02.2022 - 15.12.2022</t>
  </si>
  <si>
    <t>20.04.2022 - 30.09.2022</t>
  </si>
  <si>
    <t>15.07.2022 - 14.07.2023</t>
  </si>
  <si>
    <t>06.06.2022 - 30.06.2024</t>
  </si>
  <si>
    <t>01.07.2022 - 31.12.2022</t>
  </si>
  <si>
    <t>31.03.2022 - 30.11.2022</t>
  </si>
  <si>
    <t>16.05.2022 - 07.10.2022</t>
  </si>
  <si>
    <t>30.03.2022 - 20.03.2023</t>
  </si>
  <si>
    <t>Remont drogi gminnej nr 270925K Uście Gorlickie - Oś. Ptasie w miejscowości Uście Gorlickie dł. 425 m, w km 0+050-0+475</t>
  </si>
  <si>
    <t>30.03.2022 - 30.09.2024</t>
  </si>
  <si>
    <t>04.04.2022 - 29.03.2024</t>
  </si>
  <si>
    <t>01.07.2022 - 30.04.2025</t>
  </si>
  <si>
    <t>02.01.2022 - 30.01.2024</t>
  </si>
  <si>
    <t>Budowa drogi gminnej odcinek I w km od 0+000,00 do 0+359,47 (w tym obiekt mostowy od km 0+076,56 do km 0+204,36) wraz z sięgaczami, odcinek II w km od 0+000,00 do 0+275,15, odcinek III w km od 0+000,00 do 0+063,66 w miejscowości Bukowno, Gmina Bukowno</t>
  </si>
  <si>
    <t>Remont drogi gminnej w km od 0+812,70 do km 1+699,00  (z wyłączeniem odcinka w km 1+214,00 do 1+354,00) w miejscowości Myślenice, Gmina Myślenice</t>
  </si>
  <si>
    <t>Przebudowa drogi gminnej nr 600464K w km 0+800 - 1+650 w miejscowości Michałowice, Gmina Michałowice</t>
  </si>
  <si>
    <t>Remont drogi gminnej K420081, ul. Salamandra, w km od 0+990,00 do km 1+917,68 (z wyłączeniem odcinka od 1+029,00 do 1+095,00) w miejscowości Kościelisko, Gmina Kościelisko</t>
  </si>
  <si>
    <t>Remont drogi gminnej nr 295098K Siołkowa - Nalepówki do Krużlowej w km 2+304 - km 2+827,40 w miejscowości Siołkowa, Gmina Grybów</t>
  </si>
  <si>
    <t>Remont drogi gminnej nr 271111K Uście Gorlickie - Oderne 4 w kier. Sztaby w miejscowości Uście Gorlickie dł. 370 m, w km 0+120-0+490</t>
  </si>
  <si>
    <t>01.07.2022 - 31.07.2023</t>
  </si>
  <si>
    <t>01.09.2022 - 31.09.2023</t>
  </si>
  <si>
    <t>26/P/W/N4/2020</t>
  </si>
  <si>
    <t>Remont drogi powiatowej nr 1616K Mszana Górna-Podłopień na odcinku I w km od 9+120 do km 10+525, na odcinku II w km od 10+565 do km 10+710, na odcinku III km od 10+776 do km 15+472 w miejscowości Wilczyce, Jurków i Dobra, Powiat Limanowski</t>
  </si>
  <si>
    <t>06.2021-06.2022</t>
  </si>
  <si>
    <t>156/G/W/N3/2019</t>
  </si>
  <si>
    <t>Budowa drogi gminnej nr 600927K od km 0+055,46 do km 0+627,50 w mieście Skawina (Gmina Skawina).</t>
  </si>
  <si>
    <t>76/G/W/N3/2019</t>
  </si>
  <si>
    <t>Gmina Czernichów</t>
  </si>
  <si>
    <t>Budowa drogi gminnej (obwodnicy) w miejscowości Rybna, w km 0+000,00 do 3+270,13 od skrzyżowania z drogą powiatową K2191 do skrzyżowania z drogą wojewódzką 780 odc. 70 w km 1+611.50, Gmina Czernichów</t>
  </si>
  <si>
    <t>09.2020-04.2022</t>
  </si>
  <si>
    <t>01.07.2022 - 02.07.2023</t>
  </si>
  <si>
    <t>04.05.2022 - 30.05.2023</t>
  </si>
  <si>
    <t>01.08.2022 - 31.08.2023</t>
  </si>
  <si>
    <t>04.07.2022 - 06.07.2023</t>
  </si>
  <si>
    <t>01.05.2022 - 30.05.2023</t>
  </si>
  <si>
    <t>04.05.2022 - 15.11.2022</t>
  </si>
  <si>
    <t>12.2021-10.2023</t>
  </si>
  <si>
    <t>01.06.2022 - 30.09.2024</t>
  </si>
  <si>
    <t>23/P/R/N4/2020</t>
  </si>
  <si>
    <t>Remont drogi powiatowej 1001K w km od 0+114,53 do km 1+375,00 w miejscowości Bobrek, Powiat Oświęcimski</t>
  </si>
  <si>
    <t>05.2021-06.2022</t>
  </si>
  <si>
    <t>12.2021-12.2022</t>
  </si>
  <si>
    <t>Rozbudowa drogi gminnej 510710K na odcinku I od km 0+007,1 do km 0+097,3 (skrzyżowanie z drogą powiatową nr 1879K), budowa drogi gminnej na odcinku II od km 0+097,3 do km 0+319,9 oraz rozbudowa połączenia na odcinku III w km od 0+319,9 do km 0+608,2 (połączenie z drogą gminną nr 510621K) w miejscowości Oświęcim, Gmina Miasto Oświęcim</t>
  </si>
  <si>
    <t>Przebudowa drogi gminnej 560907K w km od 0+000,00 do km 2+205,28 (z wyłączeniem km 0+086,50-0+161,50 osuwisko nieakatywne) w miejscowości Grajów, Gmina Wieliczka</t>
  </si>
  <si>
    <t>Remont drogi gminnej 420031K w km od 2+653 do km 4+363 w miejscowości Brzegi, Gmina Bukowina Tatrzańska (z wyłączeniem odcinka w km 2+653-3+426).</t>
  </si>
  <si>
    <t>04.04.2022 - 30.11.2022</t>
  </si>
  <si>
    <t>06.2021-02.2023</t>
  </si>
  <si>
    <t>42*</t>
  </si>
  <si>
    <t>*135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</si>
</sst>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_ ;\-#,##0.00\ "/>
    <numFmt numFmtId="168" formatCode="_-* #,##0\ _z_ł_-;\-* #,##0\ _z_ł_-;_-* &quot;-&quot;??\ _z_ł_-;_-@_-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%"/>
    <numFmt numFmtId="175" formatCode="0.0000%"/>
    <numFmt numFmtId="176" formatCode="0.00000%"/>
    <numFmt numFmtId="177" formatCode="0.000000%"/>
    <numFmt numFmtId="178" formatCode="_-* #,##0_-;\-* #,##0_-;_-* &quot;-&quot;??_-;_-@_-"/>
    <numFmt numFmtId="179" formatCode="_-* #,##0.000000_-;\-* #,##0.000000_-;_-* &quot;-&quot;??_-;_-@_-"/>
    <numFmt numFmtId="180" formatCode="_-* #,##0.000000\ _z_ł_-;\-* #,##0.000000\ _z_ł_-;_-* &quot;-&quot;??????\ _z_ł_-;_-@_-"/>
    <numFmt numFmtId="181" formatCode="_-* #,##0.000_-;\-* #,##0.000_-;_-* &quot;-&quot;??_-;_-@_-"/>
    <numFmt numFmtId="182" formatCode="_-* #,##0.000\ _z_ł_-;\-* #,##0.000\ _z_ł_-;_-* &quot;-&quot;??\ _z_ł_-;_-@_-"/>
    <numFmt numFmtId="183" formatCode="_-* #,##0.0000_-;\-* #,##0.0000_-;_-* &quot;-&quot;??_-;_-@_-"/>
    <numFmt numFmtId="184" formatCode="_-* #,##0.00000_-;\-* #,##0.00000_-;_-* &quot;-&quot;??_-;_-@_-"/>
    <numFmt numFmtId="185" formatCode="_-* #,##0.0000\ _z_ł_-;\-* #,##0.0000\ _z_ł_-;_-* &quot;-&quot;??\ _z_ł_-;_-@_-"/>
    <numFmt numFmtId="186" formatCode="[$-415]dddd\,\ d\ mmmm\ yyyy"/>
    <numFmt numFmtId="187" formatCode="_-* #,##0.0\ _z_ł_-;\-* #,##0.0\ _z_ł_-;_-* &quot;-&quot;??\ _z_ł_-;_-@_-"/>
    <numFmt numFmtId="188" formatCode="_-* #,##0.00000\ _z_ł_-;\-* #,##0.00000\ _z_ł_-;_-* &quot;-&quot;??\ _z_ł_-;_-@_-"/>
    <numFmt numFmtId="189" formatCode="_-* #,##0.000000\ _z_ł_-;\-* #,##0.000000\ _z_ł_-;_-* &quot;-&quot;??\ _z_ł_-;_-@_-"/>
    <numFmt numFmtId="190" formatCode="_-* #,##0.0000000\ _z_ł_-;\-* #,##0.0000000\ _z_ł_-;_-* &quot;-&quot;??\ _z_ł_-;_-@_-"/>
    <numFmt numFmtId="191" formatCode="_-* #,##0.00000000\ _z_ł_-;\-* #,##0.00000000\ _z_ł_-;_-* &quot;-&quot;??\ _z_ł_-;_-@_-"/>
    <numFmt numFmtId="192" formatCode="_-* #,##0.000000000\ _z_ł_-;\-* #,##0.000000000\ _z_ł_-;_-* &quot;-&quot;??\ _z_ł_-;_-@_-"/>
    <numFmt numFmtId="193" formatCode="_-* #,##0.0000000000\ _z_ł_-;\-* #,##0.0000000000\ _z_ł_-;_-* &quot;-&quot;??\ _z_ł_-;_-@_-"/>
    <numFmt numFmtId="194" formatCode="_-* #,##0.0000000_-;\-* #,##0.0000000_-;_-* &quot;-&quot;??_-;_-@_-"/>
    <numFmt numFmtId="195" formatCode="0.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0000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10"/>
      <name val="Calibri"/>
      <family val="2"/>
    </font>
    <font>
      <sz val="10"/>
      <name val="Times New Roman CE"/>
      <family val="0"/>
    </font>
    <font>
      <b/>
      <sz val="11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Times New Roman CE"/>
      <family val="0"/>
    </font>
    <font>
      <sz val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Times New Roman CE"/>
      <family val="0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166" fontId="88" fillId="33" borderId="10" xfId="0" applyNumberFormat="1" applyFont="1" applyFill="1" applyBorder="1" applyAlignment="1">
      <alignment vertical="center"/>
    </xf>
    <xf numFmtId="9" fontId="11" fillId="34" borderId="11" xfId="0" applyNumberFormat="1" applyFont="1" applyFill="1" applyBorder="1" applyAlignment="1">
      <alignment horizontal="center" vertical="center"/>
    </xf>
    <xf numFmtId="166" fontId="88" fillId="2" borderId="11" xfId="0" applyNumberFormat="1" applyFont="1" applyFill="1" applyBorder="1" applyAlignment="1">
      <alignment vertical="center"/>
    </xf>
    <xf numFmtId="166" fontId="8" fillId="35" borderId="11" xfId="0" applyNumberFormat="1" applyFont="1" applyFill="1" applyBorder="1" applyAlignment="1">
      <alignment vertical="center"/>
    </xf>
    <xf numFmtId="166" fontId="89" fillId="14" borderId="11" xfId="0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>
      <alignment vertical="center"/>
    </xf>
    <xf numFmtId="166" fontId="8" fillId="35" borderId="12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left" vertical="center" indent="2"/>
    </xf>
    <xf numFmtId="166" fontId="88" fillId="2" borderId="13" xfId="0" applyNumberFormat="1" applyFont="1" applyFill="1" applyBorder="1" applyAlignment="1">
      <alignment vertical="center"/>
    </xf>
    <xf numFmtId="166" fontId="8" fillId="2" borderId="13" xfId="0" applyNumberFormat="1" applyFont="1" applyFill="1" applyBorder="1" applyAlignment="1">
      <alignment vertical="center"/>
    </xf>
    <xf numFmtId="166" fontId="8" fillId="35" borderId="13" xfId="0" applyNumberFormat="1" applyFont="1" applyFill="1" applyBorder="1" applyAlignment="1">
      <alignment vertical="center"/>
    </xf>
    <xf numFmtId="166" fontId="89" fillId="14" borderId="13" xfId="0" applyNumberFormat="1" applyFont="1" applyFill="1" applyBorder="1" applyAlignment="1">
      <alignment vertical="center"/>
    </xf>
    <xf numFmtId="166" fontId="88" fillId="2" borderId="14" xfId="0" applyNumberFormat="1" applyFont="1" applyFill="1" applyBorder="1" applyAlignment="1">
      <alignment vertical="center"/>
    </xf>
    <xf numFmtId="166" fontId="8" fillId="2" borderId="14" xfId="0" applyNumberFormat="1" applyFont="1" applyFill="1" applyBorder="1" applyAlignment="1">
      <alignment vertical="center"/>
    </xf>
    <xf numFmtId="166" fontId="8" fillId="35" borderId="14" xfId="0" applyNumberFormat="1" applyFont="1" applyFill="1" applyBorder="1" applyAlignment="1">
      <alignment vertical="center"/>
    </xf>
    <xf numFmtId="166" fontId="89" fillId="14" borderId="14" xfId="0" applyNumberFormat="1" applyFont="1" applyFill="1" applyBorder="1" applyAlignment="1">
      <alignment vertical="center"/>
    </xf>
    <xf numFmtId="166" fontId="89" fillId="33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8" fillId="33" borderId="18" xfId="0" applyNumberFormat="1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vertical="center"/>
    </xf>
    <xf numFmtId="166" fontId="8" fillId="0" borderId="20" xfId="0" applyNumberFormat="1" applyFont="1" applyFill="1" applyBorder="1" applyAlignment="1">
      <alignment vertical="center"/>
    </xf>
    <xf numFmtId="166" fontId="8" fillId="33" borderId="21" xfId="0" applyNumberFormat="1" applyFont="1" applyFill="1" applyBorder="1" applyAlignment="1">
      <alignment vertical="center"/>
    </xf>
    <xf numFmtId="166" fontId="8" fillId="0" borderId="22" xfId="0" applyNumberFormat="1" applyFont="1" applyFill="1" applyBorder="1" applyAlignment="1">
      <alignment vertical="center"/>
    </xf>
    <xf numFmtId="166" fontId="88" fillId="33" borderId="23" xfId="0" applyNumberFormat="1" applyFont="1" applyFill="1" applyBorder="1" applyAlignment="1">
      <alignment vertical="center"/>
    </xf>
    <xf numFmtId="166" fontId="88" fillId="2" borderId="24" xfId="0" applyNumberFormat="1" applyFont="1" applyFill="1" applyBorder="1" applyAlignment="1">
      <alignment vertical="center"/>
    </xf>
    <xf numFmtId="166" fontId="88" fillId="2" borderId="25" xfId="0" applyNumberFormat="1" applyFont="1" applyFill="1" applyBorder="1" applyAlignment="1">
      <alignment vertical="center"/>
    </xf>
    <xf numFmtId="166" fontId="88" fillId="2" borderId="26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166" fontId="8" fillId="35" borderId="27" xfId="0" applyNumberFormat="1" applyFont="1" applyFill="1" applyBorder="1" applyAlignment="1">
      <alignment vertical="center"/>
    </xf>
    <xf numFmtId="166" fontId="8" fillId="35" borderId="28" xfId="0" applyNumberFormat="1" applyFont="1" applyFill="1" applyBorder="1" applyAlignment="1">
      <alignment vertical="center"/>
    </xf>
    <xf numFmtId="166" fontId="8" fillId="35" borderId="29" xfId="0" applyNumberFormat="1" applyFont="1" applyFill="1" applyBorder="1" applyAlignment="1">
      <alignment vertical="center"/>
    </xf>
    <xf numFmtId="166" fontId="8" fillId="35" borderId="30" xfId="0" applyNumberFormat="1" applyFont="1" applyFill="1" applyBorder="1" applyAlignment="1">
      <alignment vertical="center"/>
    </xf>
    <xf numFmtId="0" fontId="88" fillId="35" borderId="31" xfId="0" applyFont="1" applyFill="1" applyBorder="1" applyAlignment="1">
      <alignment horizontal="left" vertical="center" indent="2"/>
    </xf>
    <xf numFmtId="166" fontId="88" fillId="35" borderId="16" xfId="0" applyNumberFormat="1" applyFont="1" applyFill="1" applyBorder="1" applyAlignment="1">
      <alignment vertical="center"/>
    </xf>
    <xf numFmtId="166" fontId="88" fillId="35" borderId="32" xfId="0" applyNumberFormat="1" applyFont="1" applyFill="1" applyBorder="1" applyAlignment="1">
      <alignment vertical="center"/>
    </xf>
    <xf numFmtId="166" fontId="88" fillId="33" borderId="31" xfId="0" applyNumberFormat="1" applyFont="1" applyFill="1" applyBorder="1" applyAlignment="1">
      <alignment vertical="center"/>
    </xf>
    <xf numFmtId="166" fontId="88" fillId="35" borderId="15" xfId="0" applyNumberFormat="1" applyFont="1" applyFill="1" applyBorder="1" applyAlignment="1">
      <alignment vertical="center"/>
    </xf>
    <xf numFmtId="166" fontId="88" fillId="35" borderId="17" xfId="0" applyNumberFormat="1" applyFont="1" applyFill="1" applyBorder="1" applyAlignment="1">
      <alignment vertical="center"/>
    </xf>
    <xf numFmtId="166" fontId="89" fillId="14" borderId="19" xfId="0" applyNumberFormat="1" applyFont="1" applyFill="1" applyBorder="1" applyAlignment="1">
      <alignment vertical="center"/>
    </xf>
    <xf numFmtId="166" fontId="89" fillId="14" borderId="20" xfId="0" applyNumberFormat="1" applyFont="1" applyFill="1" applyBorder="1" applyAlignment="1">
      <alignment vertical="center"/>
    </xf>
    <xf numFmtId="166" fontId="89" fillId="33" borderId="21" xfId="0" applyNumberFormat="1" applyFont="1" applyFill="1" applyBorder="1" applyAlignment="1">
      <alignment vertical="center"/>
    </xf>
    <xf numFmtId="166" fontId="89" fillId="14" borderId="22" xfId="0" applyNumberFormat="1" applyFont="1" applyFill="1" applyBorder="1" applyAlignment="1">
      <alignment vertical="center"/>
    </xf>
    <xf numFmtId="166" fontId="88" fillId="34" borderId="11" xfId="0" applyNumberFormat="1" applyFont="1" applyFill="1" applyBorder="1" applyAlignment="1">
      <alignment vertical="center"/>
    </xf>
    <xf numFmtId="166" fontId="88" fillId="34" borderId="13" xfId="0" applyNumberFormat="1" applyFont="1" applyFill="1" applyBorder="1" applyAlignment="1">
      <alignment vertical="center"/>
    </xf>
    <xf numFmtId="166" fontId="8" fillId="34" borderId="11" xfId="0" applyNumberFormat="1" applyFont="1" applyFill="1" applyBorder="1" applyAlignment="1">
      <alignment vertical="center"/>
    </xf>
    <xf numFmtId="166" fontId="8" fillId="34" borderId="13" xfId="0" applyNumberFormat="1" applyFont="1" applyFill="1" applyBorder="1" applyAlignment="1">
      <alignment vertical="center"/>
    </xf>
    <xf numFmtId="166" fontId="88" fillId="34" borderId="24" xfId="0" applyNumberFormat="1" applyFont="1" applyFill="1" applyBorder="1" applyAlignment="1">
      <alignment vertical="center"/>
    </xf>
    <xf numFmtId="166" fontId="88" fillId="34" borderId="25" xfId="0" applyNumberFormat="1" applyFont="1" applyFill="1" applyBorder="1" applyAlignment="1">
      <alignment vertical="center"/>
    </xf>
    <xf numFmtId="166" fontId="88" fillId="34" borderId="14" xfId="0" applyNumberFormat="1" applyFont="1" applyFill="1" applyBorder="1" applyAlignment="1">
      <alignment vertical="center"/>
    </xf>
    <xf numFmtId="166" fontId="8" fillId="34" borderId="14" xfId="0" applyNumberFormat="1" applyFont="1" applyFill="1" applyBorder="1" applyAlignment="1">
      <alignment vertical="center"/>
    </xf>
    <xf numFmtId="166" fontId="88" fillId="34" borderId="26" xfId="0" applyNumberFormat="1" applyFont="1" applyFill="1" applyBorder="1" applyAlignment="1">
      <alignment vertical="center"/>
    </xf>
    <xf numFmtId="166" fontId="8" fillId="34" borderId="22" xfId="0" applyNumberFormat="1" applyFont="1" applyFill="1" applyBorder="1" applyAlignment="1">
      <alignment vertical="center"/>
    </xf>
    <xf numFmtId="166" fontId="8" fillId="34" borderId="19" xfId="0" applyNumberFormat="1" applyFont="1" applyFill="1" applyBorder="1" applyAlignment="1">
      <alignment vertical="center"/>
    </xf>
    <xf numFmtId="165" fontId="0" fillId="0" borderId="0" xfId="42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8" fillId="34" borderId="14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88" fillId="34" borderId="26" xfId="0" applyNumberFormat="1" applyFont="1" applyFill="1" applyBorder="1" applyAlignment="1">
      <alignment horizontal="center" vertical="center"/>
    </xf>
    <xf numFmtId="0" fontId="88" fillId="2" borderId="14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8" fillId="2" borderId="26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>
      <alignment horizontal="center" vertical="center"/>
    </xf>
    <xf numFmtId="0" fontId="88" fillId="35" borderId="15" xfId="0" applyNumberFormat="1" applyFont="1" applyFill="1" applyBorder="1" applyAlignment="1">
      <alignment horizontal="center" vertical="center"/>
    </xf>
    <xf numFmtId="0" fontId="89" fillId="14" borderId="22" xfId="0" applyNumberFormat="1" applyFont="1" applyFill="1" applyBorder="1" applyAlignment="1">
      <alignment horizontal="center" vertical="center"/>
    </xf>
    <xf numFmtId="0" fontId="89" fillId="1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66" fontId="8" fillId="0" borderId="33" xfId="0" applyNumberFormat="1" applyFont="1" applyFill="1" applyBorder="1" applyAlignment="1">
      <alignment vertical="center"/>
    </xf>
    <xf numFmtId="0" fontId="88" fillId="0" borderId="10" xfId="0" applyFont="1" applyFill="1" applyBorder="1" applyAlignment="1">
      <alignment horizontal="left" vertical="center" wrapText="1" indent="2"/>
    </xf>
    <xf numFmtId="166" fontId="88" fillId="34" borderId="1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2"/>
    </xf>
    <xf numFmtId="166" fontId="8" fillId="34" borderId="12" xfId="0" applyNumberFormat="1" applyFont="1" applyFill="1" applyBorder="1" applyAlignment="1">
      <alignment vertical="center"/>
    </xf>
    <xf numFmtId="0" fontId="88" fillId="0" borderId="23" xfId="0" applyFont="1" applyFill="1" applyBorder="1" applyAlignment="1">
      <alignment horizontal="left" vertical="center" indent="2"/>
    </xf>
    <xf numFmtId="166" fontId="88" fillId="34" borderId="34" xfId="0" applyNumberFormat="1" applyFont="1" applyFill="1" applyBorder="1" applyAlignment="1">
      <alignment vertical="center"/>
    </xf>
    <xf numFmtId="0" fontId="88" fillId="2" borderId="10" xfId="0" applyFont="1" applyFill="1" applyBorder="1" applyAlignment="1">
      <alignment horizontal="left" vertical="center" wrapText="1" indent="2"/>
    </xf>
    <xf numFmtId="166" fontId="88" fillId="2" borderId="12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 indent="2"/>
    </xf>
    <xf numFmtId="166" fontId="8" fillId="2" borderId="12" xfId="0" applyNumberFormat="1" applyFont="1" applyFill="1" applyBorder="1" applyAlignment="1">
      <alignment vertical="center"/>
    </xf>
    <xf numFmtId="0" fontId="88" fillId="2" borderId="23" xfId="0" applyFont="1" applyFill="1" applyBorder="1" applyAlignment="1">
      <alignment horizontal="left" vertical="center" indent="2"/>
    </xf>
    <xf numFmtId="166" fontId="88" fillId="2" borderId="34" xfId="0" applyNumberFormat="1" applyFont="1" applyFill="1" applyBorder="1" applyAlignment="1">
      <alignment vertical="center"/>
    </xf>
    <xf numFmtId="0" fontId="8" fillId="14" borderId="21" xfId="0" applyFont="1" applyFill="1" applyBorder="1" applyAlignment="1">
      <alignment vertical="center"/>
    </xf>
    <xf numFmtId="166" fontId="89" fillId="14" borderId="33" xfId="0" applyNumberFormat="1" applyFont="1" applyFill="1" applyBorder="1" applyAlignment="1">
      <alignment vertical="center"/>
    </xf>
    <xf numFmtId="0" fontId="8" fillId="14" borderId="10" xfId="0" applyFont="1" applyFill="1" applyBorder="1" applyAlignment="1">
      <alignment horizontal="left" vertical="center" indent="2"/>
    </xf>
    <xf numFmtId="166" fontId="89" fillId="14" borderId="12" xfId="0" applyNumberFormat="1" applyFont="1" applyFill="1" applyBorder="1" applyAlignment="1">
      <alignment vertical="center"/>
    </xf>
    <xf numFmtId="0" fontId="88" fillId="14" borderId="35" xfId="0" applyFont="1" applyFill="1" applyBorder="1" applyAlignment="1">
      <alignment horizontal="left" vertical="center" indent="2"/>
    </xf>
    <xf numFmtId="0" fontId="88" fillId="14" borderId="36" xfId="0" applyNumberFormat="1" applyFont="1" applyFill="1" applyBorder="1" applyAlignment="1">
      <alignment horizontal="center" vertical="center"/>
    </xf>
    <xf numFmtId="166" fontId="88" fillId="14" borderId="37" xfId="0" applyNumberFormat="1" applyFont="1" applyFill="1" applyBorder="1" applyAlignment="1">
      <alignment vertical="center"/>
    </xf>
    <xf numFmtId="166" fontId="88" fillId="14" borderId="38" xfId="0" applyNumberFormat="1" applyFont="1" applyFill="1" applyBorder="1" applyAlignment="1">
      <alignment vertical="center"/>
    </xf>
    <xf numFmtId="166" fontId="88" fillId="33" borderId="35" xfId="0" applyNumberFormat="1" applyFont="1" applyFill="1" applyBorder="1" applyAlignment="1">
      <alignment vertical="center"/>
    </xf>
    <xf numFmtId="166" fontId="88" fillId="14" borderId="36" xfId="0" applyNumberFormat="1" applyFont="1" applyFill="1" applyBorder="1" applyAlignment="1">
      <alignment vertical="center"/>
    </xf>
    <xf numFmtId="166" fontId="88" fillId="14" borderId="39" xfId="0" applyNumberFormat="1" applyFont="1" applyFill="1" applyBorder="1" applyAlignment="1">
      <alignment vertical="center"/>
    </xf>
    <xf numFmtId="0" fontId="88" fillId="14" borderId="18" xfId="0" applyFont="1" applyFill="1" applyBorder="1" applyAlignment="1">
      <alignment vertical="center"/>
    </xf>
    <xf numFmtId="0" fontId="88" fillId="14" borderId="29" xfId="0" applyNumberFormat="1" applyFont="1" applyFill="1" applyBorder="1" applyAlignment="1">
      <alignment horizontal="center" vertical="center"/>
    </xf>
    <xf numFmtId="166" fontId="88" fillId="14" borderId="27" xfId="0" applyNumberFormat="1" applyFont="1" applyFill="1" applyBorder="1" applyAlignment="1">
      <alignment vertical="center"/>
    </xf>
    <xf numFmtId="166" fontId="88" fillId="14" borderId="28" xfId="0" applyNumberFormat="1" applyFont="1" applyFill="1" applyBorder="1" applyAlignment="1">
      <alignment vertical="center"/>
    </xf>
    <xf numFmtId="166" fontId="88" fillId="33" borderId="18" xfId="0" applyNumberFormat="1" applyFont="1" applyFill="1" applyBorder="1" applyAlignment="1">
      <alignment vertical="center"/>
    </xf>
    <xf numFmtId="166" fontId="88" fillId="14" borderId="29" xfId="0" applyNumberFormat="1" applyFont="1" applyFill="1" applyBorder="1" applyAlignment="1">
      <alignment vertical="center"/>
    </xf>
    <xf numFmtId="166" fontId="88" fillId="14" borderId="30" xfId="0" applyNumberFormat="1" applyFont="1" applyFill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4" fontId="91" fillId="0" borderId="11" xfId="0" applyNumberFormat="1" applyFont="1" applyFill="1" applyBorder="1" applyAlignment="1">
      <alignment horizontal="right" vertical="center" wrapText="1"/>
    </xf>
    <xf numFmtId="4" fontId="91" fillId="0" borderId="11" xfId="0" applyNumberFormat="1" applyFont="1" applyBorder="1" applyAlignment="1">
      <alignment horizontal="right" vertical="center" wrapText="1"/>
    </xf>
    <xf numFmtId="4" fontId="92" fillId="0" borderId="11" xfId="0" applyNumberFormat="1" applyFont="1" applyFill="1" applyBorder="1" applyAlignment="1">
      <alignment horizontal="right" vertical="center" wrapText="1"/>
    </xf>
    <xf numFmtId="4" fontId="92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93" fillId="0" borderId="0" xfId="0" applyFont="1" applyAlignment="1">
      <alignment horizontal="center"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 wrapText="1"/>
      <protection/>
    </xf>
    <xf numFmtId="0" fontId="93" fillId="0" borderId="0" xfId="57" applyFont="1" applyFill="1" applyAlignment="1">
      <alignment horizontal="center" vertical="center"/>
      <protection/>
    </xf>
    <xf numFmtId="0" fontId="93" fillId="0" borderId="0" xfId="57" applyFont="1" applyFill="1" applyAlignment="1">
      <alignment vertical="center"/>
      <protection/>
    </xf>
    <xf numFmtId="0" fontId="93" fillId="0" borderId="0" xfId="57" applyFont="1" applyFill="1" applyAlignment="1">
      <alignment vertical="center" wrapText="1"/>
      <protection/>
    </xf>
    <xf numFmtId="0" fontId="94" fillId="0" borderId="0" xfId="0" applyFont="1" applyAlignment="1">
      <alignment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vertical="center"/>
    </xf>
    <xf numFmtId="0" fontId="95" fillId="34" borderId="0" xfId="0" applyFont="1" applyFill="1" applyAlignment="1">
      <alignment vertical="center"/>
    </xf>
    <xf numFmtId="0" fontId="95" fillId="0" borderId="0" xfId="0" applyFont="1" applyAlignment="1">
      <alignment horizontal="center"/>
    </xf>
    <xf numFmtId="0" fontId="95" fillId="0" borderId="0" xfId="0" applyFont="1" applyFill="1" applyAlignment="1">
      <alignment vertical="center" wrapText="1" shrinkToFit="1"/>
    </xf>
    <xf numFmtId="0" fontId="94" fillId="0" borderId="0" xfId="0" applyFont="1" applyAlignment="1">
      <alignment vertical="center"/>
    </xf>
    <xf numFmtId="0" fontId="95" fillId="34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10" fillId="34" borderId="0" xfId="0" applyFont="1" applyFill="1" applyAlignment="1">
      <alignment/>
    </xf>
    <xf numFmtId="0" fontId="10" fillId="34" borderId="0" xfId="57" applyFont="1" applyFill="1" applyAlignment="1">
      <alignment vertical="center"/>
      <protection/>
    </xf>
    <xf numFmtId="0" fontId="95" fillId="34" borderId="0" xfId="0" applyFont="1" applyFill="1" applyAlignment="1">
      <alignment/>
    </xf>
    <xf numFmtId="0" fontId="0" fillId="34" borderId="0" xfId="0" applyFill="1" applyAlignment="1">
      <alignment vertical="center"/>
    </xf>
    <xf numFmtId="4" fontId="10" fillId="0" borderId="0" xfId="0" applyNumberFormat="1" applyFont="1" applyAlignment="1">
      <alignment/>
    </xf>
    <xf numFmtId="0" fontId="93" fillId="34" borderId="0" xfId="0" applyFont="1" applyFill="1" applyAlignment="1">
      <alignment/>
    </xf>
    <xf numFmtId="165" fontId="10" fillId="0" borderId="0" xfId="42" applyFont="1" applyAlignment="1">
      <alignment horizontal="right" wrapText="1"/>
    </xf>
    <xf numFmtId="0" fontId="10" fillId="34" borderId="0" xfId="0" applyFont="1" applyFill="1" applyAlignment="1">
      <alignment horizontal="center" vertical="center"/>
    </xf>
    <xf numFmtId="0" fontId="93" fillId="34" borderId="0" xfId="0" applyFont="1" applyFill="1" applyAlignment="1">
      <alignment vertical="center"/>
    </xf>
    <xf numFmtId="165" fontId="95" fillId="0" borderId="0" xfId="42" applyFont="1" applyAlignment="1">
      <alignment/>
    </xf>
    <xf numFmtId="0" fontId="5" fillId="34" borderId="0" xfId="0" applyFont="1" applyFill="1" applyBorder="1" applyAlignment="1">
      <alignment vertical="center"/>
    </xf>
    <xf numFmtId="0" fontId="96" fillId="34" borderId="0" xfId="0" applyFont="1" applyFill="1" applyAlignment="1">
      <alignment/>
    </xf>
    <xf numFmtId="165" fontId="95" fillId="0" borderId="0" xfId="0" applyNumberFormat="1" applyFont="1" applyAlignment="1">
      <alignment/>
    </xf>
    <xf numFmtId="0" fontId="10" fillId="0" borderId="0" xfId="0" applyFont="1" applyFill="1" applyAlignment="1">
      <alignment wrapText="1" shrinkToFit="1"/>
    </xf>
    <xf numFmtId="0" fontId="90" fillId="34" borderId="0" xfId="0" applyFont="1" applyFill="1" applyAlignment="1">
      <alignment/>
    </xf>
    <xf numFmtId="0" fontId="52" fillId="34" borderId="0" xfId="0" applyFont="1" applyFill="1" applyAlignment="1">
      <alignment horizontal="center" vertical="center"/>
    </xf>
    <xf numFmtId="9" fontId="52" fillId="34" borderId="0" xfId="68" applyFont="1" applyFill="1" applyAlignment="1">
      <alignment horizontal="center" vertical="center"/>
    </xf>
    <xf numFmtId="4" fontId="52" fillId="34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vertical="center"/>
    </xf>
    <xf numFmtId="0" fontId="9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57" applyFont="1" applyFill="1" applyAlignment="1">
      <alignment horizontal="center" vertical="center"/>
      <protection/>
    </xf>
    <xf numFmtId="0" fontId="94" fillId="0" borderId="0" xfId="0" applyFont="1" applyAlignment="1">
      <alignment horizontal="center"/>
    </xf>
    <xf numFmtId="165" fontId="5" fillId="34" borderId="0" xfId="42" applyFont="1" applyFill="1" applyBorder="1" applyAlignment="1">
      <alignment vertical="center"/>
    </xf>
    <xf numFmtId="166" fontId="5" fillId="34" borderId="0" xfId="0" applyNumberFormat="1" applyFont="1" applyFill="1" applyBorder="1" applyAlignment="1">
      <alignment vertical="center"/>
    </xf>
    <xf numFmtId="166" fontId="5" fillId="34" borderId="0" xfId="0" applyNumberFormat="1" applyFont="1" applyFill="1" applyAlignment="1">
      <alignment vertical="center"/>
    </xf>
    <xf numFmtId="165" fontId="14" fillId="34" borderId="0" xfId="0" applyNumberFormat="1" applyFont="1" applyFill="1" applyBorder="1" applyAlignment="1">
      <alignment vertical="center" wrapText="1"/>
    </xf>
    <xf numFmtId="9" fontId="54" fillId="34" borderId="11" xfId="0" applyNumberFormat="1" applyFont="1" applyFill="1" applyBorder="1" applyAlignment="1">
      <alignment horizontal="center" vertical="center"/>
    </xf>
    <xf numFmtId="0" fontId="91" fillId="34" borderId="40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 vertical="center"/>
    </xf>
    <xf numFmtId="4" fontId="10" fillId="34" borderId="0" xfId="0" applyNumberFormat="1" applyFont="1" applyFill="1" applyAlignment="1">
      <alignment vertical="center"/>
    </xf>
    <xf numFmtId="0" fontId="95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4" fontId="3" fillId="34" borderId="11" xfId="0" applyNumberFormat="1" applyFont="1" applyFill="1" applyBorder="1" applyAlignment="1">
      <alignment vertical="center" wrapText="1"/>
    </xf>
    <xf numFmtId="10" fontId="10" fillId="34" borderId="0" xfId="0" applyNumberFormat="1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/>
    </xf>
    <xf numFmtId="165" fontId="95" fillId="34" borderId="0" xfId="42" applyFont="1" applyFill="1" applyBorder="1" applyAlignment="1">
      <alignment/>
    </xf>
    <xf numFmtId="4" fontId="98" fillId="34" borderId="0" xfId="0" applyNumberFormat="1" applyFont="1" applyFill="1" applyBorder="1" applyAlignment="1">
      <alignment horizontal="right" vertical="center"/>
    </xf>
    <xf numFmtId="165" fontId="99" fillId="34" borderId="0" xfId="42" applyFont="1" applyFill="1" applyBorder="1" applyAlignment="1">
      <alignment/>
    </xf>
    <xf numFmtId="165" fontId="95" fillId="34" borderId="0" xfId="0" applyNumberFormat="1" applyFont="1" applyFill="1" applyBorder="1" applyAlignment="1">
      <alignment/>
    </xf>
    <xf numFmtId="4" fontId="95" fillId="34" borderId="0" xfId="0" applyNumberFormat="1" applyFont="1" applyFill="1" applyBorder="1" applyAlignment="1">
      <alignment/>
    </xf>
    <xf numFmtId="168" fontId="95" fillId="0" borderId="0" xfId="0" applyNumberFormat="1" applyFont="1" applyAlignment="1">
      <alignment/>
    </xf>
    <xf numFmtId="165" fontId="15" fillId="34" borderId="0" xfId="42" applyFont="1" applyFill="1" applyBorder="1" applyAlignment="1">
      <alignment vertical="center"/>
    </xf>
    <xf numFmtId="0" fontId="91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wrapText="1"/>
    </xf>
    <xf numFmtId="0" fontId="100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98" fillId="0" borderId="0" xfId="0" applyFont="1" applyFill="1" applyAlignment="1">
      <alignment/>
    </xf>
    <xf numFmtId="0" fontId="98" fillId="34" borderId="0" xfId="0" applyFont="1" applyFill="1" applyAlignment="1">
      <alignment/>
    </xf>
    <xf numFmtId="0" fontId="98" fillId="0" borderId="0" xfId="0" applyFont="1" applyAlignment="1">
      <alignment/>
    </xf>
    <xf numFmtId="4" fontId="98" fillId="0" borderId="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/>
    </xf>
    <xf numFmtId="4" fontId="98" fillId="34" borderId="0" xfId="0" applyNumberFormat="1" applyFont="1" applyFill="1" applyAlignment="1">
      <alignment/>
    </xf>
    <xf numFmtId="0" fontId="90" fillId="0" borderId="0" xfId="0" applyFont="1" applyAlignment="1">
      <alignment vertical="center"/>
    </xf>
    <xf numFmtId="0" fontId="52" fillId="34" borderId="0" xfId="0" applyFont="1" applyFill="1" applyAlignment="1">
      <alignment vertical="center"/>
    </xf>
    <xf numFmtId="0" fontId="96" fillId="34" borderId="0" xfId="0" applyFont="1" applyFill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/>
    </xf>
    <xf numFmtId="4" fontId="91" fillId="0" borderId="11" xfId="0" applyNumberFormat="1" applyFont="1" applyBorder="1" applyAlignment="1">
      <alignment vertical="center" wrapText="1"/>
    </xf>
    <xf numFmtId="0" fontId="92" fillId="34" borderId="11" xfId="0" applyFont="1" applyFill="1" applyBorder="1" applyAlignment="1">
      <alignment horizontal="center" vertical="center" wrapText="1"/>
    </xf>
    <xf numFmtId="9" fontId="92" fillId="34" borderId="11" xfId="0" applyNumberFormat="1" applyFont="1" applyFill="1" applyBorder="1" applyAlignment="1">
      <alignment horizontal="center" vertical="center"/>
    </xf>
    <xf numFmtId="4" fontId="92" fillId="0" borderId="11" xfId="0" applyNumberFormat="1" applyFont="1" applyBorder="1" applyAlignment="1">
      <alignment vertical="center" wrapText="1"/>
    </xf>
    <xf numFmtId="0" fontId="90" fillId="0" borderId="0" xfId="0" applyFont="1" applyFill="1" applyAlignment="1">
      <alignment vertical="center" wrapText="1" shrinkToFit="1"/>
    </xf>
    <xf numFmtId="0" fontId="90" fillId="34" borderId="0" xfId="0" applyFont="1" applyFill="1" applyAlignment="1">
      <alignment vertical="center"/>
    </xf>
    <xf numFmtId="0" fontId="101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4" fontId="101" fillId="0" borderId="0" xfId="0" applyNumberFormat="1" applyFont="1" applyFill="1" applyAlignment="1">
      <alignment vertical="center"/>
    </xf>
    <xf numFmtId="4" fontId="90" fillId="0" borderId="0" xfId="0" applyNumberFormat="1" applyFont="1" applyFill="1" applyAlignment="1">
      <alignment vertical="center"/>
    </xf>
    <xf numFmtId="165" fontId="90" fillId="0" borderId="0" xfId="0" applyNumberFormat="1" applyFont="1" applyAlignment="1">
      <alignment vertical="center"/>
    </xf>
    <xf numFmtId="0" fontId="3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165" fontId="3" fillId="34" borderId="0" xfId="0" applyNumberFormat="1" applyFont="1" applyFill="1" applyAlignment="1">
      <alignment vertical="center"/>
    </xf>
    <xf numFmtId="43" fontId="3" fillId="34" borderId="11" xfId="0" applyNumberFormat="1" applyFont="1" applyFill="1" applyBorder="1" applyAlignment="1">
      <alignment horizontal="center" vertical="center" wrapText="1"/>
    </xf>
    <xf numFmtId="43" fontId="92" fillId="34" borderId="11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8" fillId="34" borderId="0" xfId="0" applyFont="1" applyFill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2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vertical="center"/>
    </xf>
    <xf numFmtId="166" fontId="8" fillId="2" borderId="20" xfId="0" applyNumberFormat="1" applyFont="1" applyFill="1" applyBorder="1" applyAlignment="1">
      <alignment vertical="center"/>
    </xf>
    <xf numFmtId="166" fontId="8" fillId="2" borderId="22" xfId="0" applyNumberFormat="1" applyFont="1" applyFill="1" applyBorder="1" applyAlignment="1">
      <alignment vertical="center"/>
    </xf>
    <xf numFmtId="166" fontId="8" fillId="2" borderId="33" xfId="0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165" fontId="98" fillId="34" borderId="0" xfId="0" applyNumberFormat="1" applyFont="1" applyFill="1" applyAlignment="1">
      <alignment/>
    </xf>
    <xf numFmtId="165" fontId="97" fillId="0" borderId="0" xfId="0" applyNumberFormat="1" applyFont="1" applyAlignment="1">
      <alignment horizontal="center" vertical="center"/>
    </xf>
    <xf numFmtId="165" fontId="91" fillId="0" borderId="0" xfId="0" applyNumberFormat="1" applyFont="1" applyFill="1" applyBorder="1" applyAlignment="1">
      <alignment vertical="center" wrapText="1"/>
    </xf>
    <xf numFmtId="0" fontId="95" fillId="0" borderId="0" xfId="0" applyFont="1" applyBorder="1" applyAlignment="1">
      <alignment/>
    </xf>
    <xf numFmtId="43" fontId="3" fillId="34" borderId="0" xfId="42" applyNumberFormat="1" applyFont="1" applyFill="1" applyBorder="1" applyAlignment="1">
      <alignment horizontal="right" vertical="center" wrapText="1"/>
    </xf>
    <xf numFmtId="165" fontId="3" fillId="34" borderId="0" xfId="0" applyNumberFormat="1" applyFont="1" applyFill="1" applyBorder="1" applyAlignment="1">
      <alignment/>
    </xf>
    <xf numFmtId="165" fontId="98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98" fillId="34" borderId="0" xfId="0" applyFont="1" applyFill="1" applyBorder="1" applyAlignment="1">
      <alignment/>
    </xf>
    <xf numFmtId="4" fontId="98" fillId="0" borderId="0" xfId="0" applyNumberFormat="1" applyFont="1" applyBorder="1" applyAlignment="1">
      <alignment/>
    </xf>
    <xf numFmtId="0" fontId="98" fillId="0" borderId="0" xfId="0" applyFont="1" applyBorder="1" applyAlignment="1">
      <alignment/>
    </xf>
    <xf numFmtId="43" fontId="98" fillId="34" borderId="0" xfId="0" applyNumberFormat="1" applyFont="1" applyFill="1" applyBorder="1" applyAlignment="1">
      <alignment/>
    </xf>
    <xf numFmtId="43" fontId="95" fillId="0" borderId="0" xfId="0" applyNumberFormat="1" applyFont="1" applyAlignment="1">
      <alignment/>
    </xf>
    <xf numFmtId="165" fontId="98" fillId="34" borderId="0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0" fontId="49" fillId="34" borderId="0" xfId="0" applyFont="1" applyFill="1" applyAlignment="1">
      <alignment horizontal="center" vertical="center"/>
    </xf>
    <xf numFmtId="4" fontId="49" fillId="34" borderId="0" xfId="0" applyNumberFormat="1" applyFont="1" applyFill="1" applyAlignment="1">
      <alignment horizontal="center" vertical="center"/>
    </xf>
    <xf numFmtId="0" fontId="49" fillId="34" borderId="0" xfId="0" applyFont="1" applyFill="1" applyAlignment="1">
      <alignment vertical="center"/>
    </xf>
    <xf numFmtId="165" fontId="10" fillId="34" borderId="0" xfId="0" applyNumberFormat="1" applyFont="1" applyFill="1" applyAlignment="1">
      <alignment/>
    </xf>
    <xf numFmtId="2" fontId="95" fillId="0" borderId="0" xfId="0" applyNumberFormat="1" applyFont="1" applyAlignment="1">
      <alignment horizontal="center"/>
    </xf>
    <xf numFmtId="165" fontId="90" fillId="0" borderId="0" xfId="0" applyNumberFormat="1" applyFont="1" applyAlignment="1">
      <alignment horizontal="center" vertical="center"/>
    </xf>
    <xf numFmtId="0" fontId="91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5" fillId="34" borderId="0" xfId="0" applyFont="1" applyFill="1" applyAlignment="1">
      <alignment vertical="center"/>
    </xf>
    <xf numFmtId="166" fontId="17" fillId="34" borderId="0" xfId="0" applyNumberFormat="1" applyFont="1" applyFill="1" applyAlignment="1">
      <alignment vertical="center"/>
    </xf>
    <xf numFmtId="165" fontId="5" fillId="34" borderId="0" xfId="0" applyNumberFormat="1" applyFont="1" applyFill="1" applyAlignment="1">
      <alignment vertical="center"/>
    </xf>
    <xf numFmtId="0" fontId="17" fillId="34" borderId="0" xfId="0" applyFont="1" applyFill="1" applyAlignment="1">
      <alignment vertical="center"/>
    </xf>
    <xf numFmtId="165" fontId="15" fillId="34" borderId="0" xfId="0" applyNumberFormat="1" applyFont="1" applyFill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98" fillId="0" borderId="0" xfId="0" applyNumberFormat="1" applyFont="1" applyAlignment="1">
      <alignment/>
    </xf>
    <xf numFmtId="0" fontId="102" fillId="0" borderId="11" xfId="0" applyFont="1" applyBorder="1" applyAlignment="1">
      <alignment horizontal="center" vertical="center" wrapText="1"/>
    </xf>
    <xf numFmtId="4" fontId="103" fillId="0" borderId="11" xfId="0" applyNumberFormat="1" applyFont="1" applyFill="1" applyBorder="1" applyAlignment="1">
      <alignment horizontal="right" vertical="center" wrapText="1"/>
    </xf>
    <xf numFmtId="4" fontId="103" fillId="34" borderId="11" xfId="0" applyNumberFormat="1" applyFont="1" applyFill="1" applyBorder="1" applyAlignment="1">
      <alignment horizontal="right" vertical="center" wrapText="1"/>
    </xf>
    <xf numFmtId="9" fontId="16" fillId="34" borderId="11" xfId="0" applyNumberFormat="1" applyFont="1" applyFill="1" applyBorder="1" applyAlignment="1">
      <alignment horizontal="center" vertical="center"/>
    </xf>
    <xf numFmtId="4" fontId="103" fillId="0" borderId="11" xfId="0" applyNumberFormat="1" applyFont="1" applyBorder="1" applyAlignment="1">
      <alignment horizontal="right" vertical="center" wrapText="1"/>
    </xf>
    <xf numFmtId="4" fontId="10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04" fillId="0" borderId="11" xfId="0" applyFont="1" applyBorder="1" applyAlignment="1">
      <alignment horizontal="center" vertical="center" wrapText="1"/>
    </xf>
    <xf numFmtId="4" fontId="104" fillId="0" borderId="11" xfId="0" applyNumberFormat="1" applyFont="1" applyFill="1" applyBorder="1" applyAlignment="1">
      <alignment horizontal="right" vertical="center" wrapText="1"/>
    </xf>
    <xf numFmtId="4" fontId="104" fillId="34" borderId="11" xfId="0" applyNumberFormat="1" applyFont="1" applyFill="1" applyBorder="1" applyAlignment="1">
      <alignment horizontal="right" vertical="center" wrapText="1"/>
    </xf>
    <xf numFmtId="9" fontId="104" fillId="34" borderId="11" xfId="0" applyNumberFormat="1" applyFont="1" applyFill="1" applyBorder="1" applyAlignment="1">
      <alignment horizontal="center" vertical="center"/>
    </xf>
    <xf numFmtId="4" fontId="104" fillId="0" borderId="11" xfId="0" applyNumberFormat="1" applyFont="1" applyBorder="1" applyAlignment="1">
      <alignment horizontal="right" vertical="center" wrapText="1"/>
    </xf>
    <xf numFmtId="4" fontId="104" fillId="0" borderId="11" xfId="0" applyNumberFormat="1" applyFont="1" applyBorder="1" applyAlignment="1">
      <alignment horizontal="right" vertical="center"/>
    </xf>
    <xf numFmtId="2" fontId="16" fillId="34" borderId="11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4" fontId="103" fillId="34" borderId="13" xfId="0" applyNumberFormat="1" applyFont="1" applyFill="1" applyBorder="1" applyAlignment="1">
      <alignment horizontal="right" vertical="center" wrapText="1"/>
    </xf>
    <xf numFmtId="4" fontId="103" fillId="34" borderId="14" xfId="0" applyNumberFormat="1" applyFont="1" applyFill="1" applyBorder="1" applyAlignment="1">
      <alignment horizontal="right" vertical="center" wrapText="1"/>
    </xf>
    <xf numFmtId="4" fontId="16" fillId="34" borderId="11" xfId="0" applyNumberFormat="1" applyFont="1" applyFill="1" applyBorder="1" applyAlignment="1">
      <alignment horizontal="right" vertical="center" wrapText="1"/>
    </xf>
    <xf numFmtId="4" fontId="16" fillId="34" borderId="11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 horizontal="center" vertical="center"/>
    </xf>
    <xf numFmtId="10" fontId="13" fillId="34" borderId="0" xfId="0" applyNumberFormat="1" applyFont="1" applyFill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05" fillId="34" borderId="0" xfId="0" applyFont="1" applyFill="1" applyAlignment="1">
      <alignment/>
    </xf>
    <xf numFmtId="2" fontId="104" fillId="34" borderId="11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4" fontId="104" fillId="0" borderId="13" xfId="0" applyNumberFormat="1" applyFont="1" applyBorder="1" applyAlignment="1">
      <alignment horizontal="right" vertical="center" wrapText="1"/>
    </xf>
    <xf numFmtId="4" fontId="104" fillId="0" borderId="14" xfId="0" applyNumberFormat="1" applyFont="1" applyBorder="1" applyAlignment="1">
      <alignment horizontal="right" vertical="center" wrapText="1"/>
    </xf>
    <xf numFmtId="0" fontId="91" fillId="34" borderId="11" xfId="0" applyFont="1" applyFill="1" applyBorder="1" applyAlignment="1">
      <alignment horizontal="center" vertical="center" wrapText="1"/>
    </xf>
    <xf numFmtId="165" fontId="15" fillId="34" borderId="0" xfId="42" applyFont="1" applyFill="1" applyBorder="1" applyAlignment="1">
      <alignment horizontal="center" vertical="center"/>
    </xf>
    <xf numFmtId="165" fontId="0" fillId="34" borderId="0" xfId="42" applyFont="1" applyFill="1" applyAlignment="1">
      <alignment/>
    </xf>
    <xf numFmtId="166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43" fontId="3" fillId="34" borderId="11" xfId="0" applyNumberFormat="1" applyFont="1" applyFill="1" applyBorder="1" applyAlignment="1">
      <alignment vertical="center"/>
    </xf>
    <xf numFmtId="43" fontId="92" fillId="34" borderId="11" xfId="0" applyNumberFormat="1" applyFont="1" applyFill="1" applyBorder="1" applyAlignment="1">
      <alignment vertical="center"/>
    </xf>
    <xf numFmtId="0" fontId="95" fillId="0" borderId="0" xfId="42" applyNumberFormat="1" applyFont="1" applyAlignment="1">
      <alignment horizontal="center" vertical="center"/>
    </xf>
    <xf numFmtId="2" fontId="16" fillId="34" borderId="11" xfId="42" applyNumberFormat="1" applyFont="1" applyFill="1" applyBorder="1" applyAlignment="1">
      <alignment horizontal="center" vertical="center"/>
    </xf>
    <xf numFmtId="2" fontId="104" fillId="34" borderId="11" xfId="42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165" fontId="6" fillId="34" borderId="0" xfId="0" applyNumberFormat="1" applyFont="1" applyFill="1" applyBorder="1" applyAlignment="1">
      <alignment vertical="center" wrapText="1"/>
    </xf>
    <xf numFmtId="165" fontId="8" fillId="34" borderId="0" xfId="0" applyNumberFormat="1" applyFont="1" applyFill="1" applyBorder="1" applyAlignment="1">
      <alignment vertical="center" wrapText="1"/>
    </xf>
    <xf numFmtId="166" fontId="8" fillId="34" borderId="0" xfId="0" applyNumberFormat="1" applyFont="1" applyFill="1" applyBorder="1" applyAlignment="1">
      <alignment vertical="center" wrapText="1"/>
    </xf>
    <xf numFmtId="0" fontId="97" fillId="34" borderId="0" xfId="0" applyFont="1" applyFill="1" applyAlignment="1">
      <alignment horizontal="center" vertical="center"/>
    </xf>
    <xf numFmtId="165" fontId="95" fillId="34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5" fontId="10" fillId="0" borderId="11" xfId="42" applyFont="1" applyFill="1" applyBorder="1" applyAlignment="1">
      <alignment horizontal="right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65" fontId="88" fillId="34" borderId="0" xfId="42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center" wrapText="1"/>
    </xf>
    <xf numFmtId="181" fontId="49" fillId="0" borderId="16" xfId="46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10" fontId="3" fillId="34" borderId="0" xfId="68" applyNumberFormat="1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10" fontId="10" fillId="34" borderId="0" xfId="0" applyNumberFormat="1" applyFont="1" applyFill="1" applyAlignment="1">
      <alignment vertical="center"/>
    </xf>
    <xf numFmtId="165" fontId="95" fillId="34" borderId="0" xfId="42" applyFont="1" applyFill="1" applyAlignment="1">
      <alignment horizontal="center"/>
    </xf>
    <xf numFmtId="2" fontId="95" fillId="34" borderId="0" xfId="0" applyNumberFormat="1" applyFont="1" applyFill="1" applyAlignment="1">
      <alignment horizontal="center"/>
    </xf>
    <xf numFmtId="167" fontId="10" fillId="34" borderId="0" xfId="0" applyNumberFormat="1" applyFont="1" applyFill="1" applyAlignment="1">
      <alignment/>
    </xf>
    <xf numFmtId="165" fontId="10" fillId="34" borderId="0" xfId="42" applyFont="1" applyFill="1" applyAlignment="1">
      <alignment horizontal="right" wrapText="1"/>
    </xf>
    <xf numFmtId="165" fontId="8" fillId="34" borderId="0" xfId="42" applyFont="1" applyFill="1" applyBorder="1" applyAlignment="1">
      <alignment vertical="center" wrapText="1"/>
    </xf>
    <xf numFmtId="165" fontId="0" fillId="34" borderId="0" xfId="0" applyNumberFormat="1" applyFill="1" applyBorder="1" applyAlignment="1">
      <alignment vertical="center"/>
    </xf>
    <xf numFmtId="2" fontId="95" fillId="34" borderId="0" xfId="0" applyNumberFormat="1" applyFont="1" applyFill="1" applyAlignment="1">
      <alignment horizontal="center" vertical="center"/>
    </xf>
    <xf numFmtId="165" fontId="102" fillId="0" borderId="11" xfId="42" applyFont="1" applyBorder="1" applyAlignment="1">
      <alignment horizontal="right" vertical="center"/>
    </xf>
    <xf numFmtId="165" fontId="104" fillId="0" borderId="11" xfId="42" applyFont="1" applyBorder="1" applyAlignment="1">
      <alignment horizontal="right" vertical="center"/>
    </xf>
    <xf numFmtId="165" fontId="98" fillId="0" borderId="0" xfId="42" applyFont="1" applyFill="1" applyBorder="1" applyAlignment="1">
      <alignment vertical="center"/>
    </xf>
    <xf numFmtId="0" fontId="91" fillId="34" borderId="11" xfId="0" applyFont="1" applyFill="1" applyBorder="1" applyAlignment="1">
      <alignment horizontal="center" vertical="center" wrapText="1"/>
    </xf>
    <xf numFmtId="166" fontId="15" fillId="34" borderId="0" xfId="0" applyNumberFormat="1" applyFont="1" applyFill="1" applyAlignment="1">
      <alignment vertical="center"/>
    </xf>
    <xf numFmtId="166" fontId="18" fillId="34" borderId="0" xfId="0" applyNumberFormat="1" applyFont="1" applyFill="1" applyAlignment="1">
      <alignment horizontal="center" vertical="center"/>
    </xf>
    <xf numFmtId="166" fontId="19" fillId="34" borderId="0" xfId="0" applyNumberFormat="1" applyFont="1" applyFill="1" applyAlignment="1">
      <alignment horizontal="center" vertical="center"/>
    </xf>
    <xf numFmtId="165" fontId="22" fillId="34" borderId="0" xfId="42" applyFont="1" applyFill="1" applyBorder="1" applyAlignment="1">
      <alignment vertical="center" wrapText="1"/>
    </xf>
    <xf numFmtId="9" fontId="10" fillId="34" borderId="0" xfId="68" applyFont="1" applyFill="1" applyAlignment="1">
      <alignment horizontal="center" vertical="center"/>
    </xf>
    <xf numFmtId="4" fontId="10" fillId="34" borderId="0" xfId="0" applyNumberFormat="1" applyFont="1" applyFill="1" applyAlignment="1">
      <alignment horizontal="center" vertical="center"/>
    </xf>
    <xf numFmtId="9" fontId="10" fillId="34" borderId="0" xfId="0" applyNumberFormat="1" applyFont="1" applyFill="1" applyAlignment="1">
      <alignment horizontal="center" vertical="center"/>
    </xf>
    <xf numFmtId="9" fontId="10" fillId="34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 vertical="center"/>
    </xf>
    <xf numFmtId="9" fontId="49" fillId="34" borderId="0" xfId="68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9" fontId="49" fillId="0" borderId="0" xfId="68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165" fontId="52" fillId="0" borderId="0" xfId="42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9" fontId="52" fillId="0" borderId="0" xfId="68" applyFont="1" applyAlignment="1">
      <alignment horizontal="center" vertical="center"/>
    </xf>
    <xf numFmtId="0" fontId="93" fillId="36" borderId="0" xfId="0" applyFont="1" applyFill="1" applyAlignment="1">
      <alignment horizontal="center" vertical="center"/>
    </xf>
    <xf numFmtId="0" fontId="85" fillId="0" borderId="16" xfId="0" applyFont="1" applyFill="1" applyBorder="1" applyAlignment="1">
      <alignment horizontal="center" vertical="center" wrapText="1"/>
    </xf>
    <xf numFmtId="4" fontId="92" fillId="34" borderId="11" xfId="0" applyNumberFormat="1" applyFont="1" applyFill="1" applyBorder="1" applyAlignment="1">
      <alignment horizontal="right" vertical="center" wrapText="1"/>
    </xf>
    <xf numFmtId="9" fontId="106" fillId="34" borderId="11" xfId="0" applyNumberFormat="1" applyFont="1" applyFill="1" applyBorder="1" applyAlignment="1">
      <alignment horizontal="center" vertical="center"/>
    </xf>
    <xf numFmtId="4" fontId="92" fillId="34" borderId="11" xfId="0" applyNumberFormat="1" applyFont="1" applyFill="1" applyBorder="1" applyAlignment="1">
      <alignment vertical="center" wrapText="1"/>
    </xf>
    <xf numFmtId="4" fontId="104" fillId="34" borderId="13" xfId="0" applyNumberFormat="1" applyFont="1" applyFill="1" applyBorder="1" applyAlignment="1">
      <alignment horizontal="right" vertical="center" wrapText="1"/>
    </xf>
    <xf numFmtId="9" fontId="107" fillId="34" borderId="11" xfId="0" applyNumberFormat="1" applyFont="1" applyFill="1" applyBorder="1" applyAlignment="1">
      <alignment horizontal="center" vertical="center"/>
    </xf>
    <xf numFmtId="4" fontId="104" fillId="34" borderId="14" xfId="0" applyNumberFormat="1" applyFont="1" applyFill="1" applyBorder="1" applyAlignment="1">
      <alignment horizontal="right" vertical="center" wrapText="1"/>
    </xf>
    <xf numFmtId="4" fontId="104" fillId="34" borderId="11" xfId="0" applyNumberFormat="1" applyFont="1" applyFill="1" applyBorder="1" applyAlignment="1">
      <alignment horizontal="right" vertical="center"/>
    </xf>
    <xf numFmtId="0" fontId="108" fillId="34" borderId="0" xfId="0" applyFont="1" applyFill="1" applyAlignment="1">
      <alignment horizontal="center" vertical="center"/>
    </xf>
    <xf numFmtId="10" fontId="108" fillId="34" borderId="0" xfId="0" applyNumberFormat="1" applyFont="1" applyFill="1" applyAlignment="1">
      <alignment horizontal="center" vertical="center"/>
    </xf>
    <xf numFmtId="0" fontId="108" fillId="34" borderId="0" xfId="0" applyFont="1" applyFill="1" applyBorder="1" applyAlignment="1">
      <alignment horizontal="center" vertical="center"/>
    </xf>
    <xf numFmtId="0" fontId="108" fillId="34" borderId="0" xfId="0" applyFont="1" applyFill="1" applyAlignment="1">
      <alignment/>
    </xf>
    <xf numFmtId="0" fontId="108" fillId="0" borderId="0" xfId="0" applyFont="1" applyAlignment="1">
      <alignment/>
    </xf>
    <xf numFmtId="167" fontId="3" fillId="34" borderId="11" xfId="0" applyNumberFormat="1" applyFont="1" applyFill="1" applyBorder="1" applyAlignment="1">
      <alignment horizontal="right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 shrinkToFit="1"/>
    </xf>
    <xf numFmtId="0" fontId="91" fillId="34" borderId="16" xfId="0" applyFont="1" applyFill="1" applyBorder="1" applyAlignment="1">
      <alignment horizontal="center" vertical="center" wrapText="1"/>
    </xf>
    <xf numFmtId="0" fontId="91" fillId="34" borderId="27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 shrinkToFit="1"/>
    </xf>
    <xf numFmtId="0" fontId="102" fillId="0" borderId="13" xfId="0" applyFont="1" applyFill="1" applyBorder="1" applyAlignment="1">
      <alignment horizontal="center" vertical="center" wrapText="1" shrinkToFit="1"/>
    </xf>
    <xf numFmtId="0" fontId="102" fillId="0" borderId="56" xfId="0" applyFont="1" applyFill="1" applyBorder="1" applyAlignment="1">
      <alignment horizontal="center" vertical="center" wrapText="1" shrinkToFit="1"/>
    </xf>
    <xf numFmtId="0" fontId="102" fillId="0" borderId="14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09" fillId="34" borderId="11" xfId="0" applyFont="1" applyFill="1" applyBorder="1" applyAlignment="1">
      <alignment horizontal="center" vertical="center" wrapText="1"/>
    </xf>
    <xf numFmtId="0" fontId="91" fillId="34" borderId="11" xfId="42" applyNumberFormat="1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 shrinkToFit="1"/>
    </xf>
    <xf numFmtId="0" fontId="102" fillId="34" borderId="56" xfId="0" applyFont="1" applyFill="1" applyBorder="1" applyAlignment="1">
      <alignment horizontal="center" vertical="center" wrapText="1" shrinkToFit="1"/>
    </xf>
    <xf numFmtId="0" fontId="102" fillId="34" borderId="14" xfId="0" applyFont="1" applyFill="1" applyBorder="1" applyAlignment="1">
      <alignment horizontal="center" vertical="center" wrapText="1" shrinkToFit="1"/>
    </xf>
    <xf numFmtId="0" fontId="91" fillId="0" borderId="1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104" fillId="34" borderId="13" xfId="0" applyFont="1" applyFill="1" applyBorder="1" applyAlignment="1">
      <alignment horizontal="center" vertical="center" wrapText="1" shrinkToFit="1"/>
    </xf>
    <xf numFmtId="0" fontId="104" fillId="34" borderId="56" xfId="0" applyFont="1" applyFill="1" applyBorder="1" applyAlignment="1">
      <alignment horizontal="center" vertical="center" wrapText="1" shrinkToFit="1"/>
    </xf>
    <xf numFmtId="0" fontId="104" fillId="34" borderId="14" xfId="0" applyFont="1" applyFill="1" applyBorder="1" applyAlignment="1">
      <alignment horizontal="center" vertical="center" wrapText="1" shrinkToFit="1"/>
    </xf>
    <xf numFmtId="0" fontId="104" fillId="0" borderId="13" xfId="0" applyFont="1" applyFill="1" applyBorder="1" applyAlignment="1">
      <alignment horizontal="center" vertical="center" wrapText="1" shrinkToFit="1"/>
    </xf>
    <xf numFmtId="0" fontId="104" fillId="0" borderId="56" xfId="0" applyFont="1" applyFill="1" applyBorder="1" applyAlignment="1">
      <alignment horizontal="center" vertical="center" wrapText="1" shrinkToFit="1"/>
    </xf>
    <xf numFmtId="0" fontId="104" fillId="0" borderId="14" xfId="0" applyFont="1" applyFill="1" applyBorder="1" applyAlignment="1">
      <alignment horizontal="center" vertical="center" wrapText="1" shrinkToFit="1"/>
    </xf>
    <xf numFmtId="0" fontId="68" fillId="34" borderId="16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1" fillId="34" borderId="13" xfId="0" applyFont="1" applyFill="1" applyBorder="1" applyAlignment="1">
      <alignment horizontal="center" vertical="center" wrapText="1"/>
    </xf>
    <xf numFmtId="0" fontId="91" fillId="34" borderId="56" xfId="0" applyFont="1" applyFill="1" applyBorder="1" applyAlignment="1">
      <alignment horizontal="center" vertical="center" wrapText="1"/>
    </xf>
    <xf numFmtId="0" fontId="91" fillId="34" borderId="14" xfId="0" applyFont="1" applyFill="1" applyBorder="1" applyAlignment="1">
      <alignment horizontal="center" vertical="center" wrapText="1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56" xfId="0" applyFont="1" applyFill="1" applyBorder="1" applyAlignment="1">
      <alignment horizontal="center" vertical="center" wrapText="1"/>
    </xf>
    <xf numFmtId="0" fontId="92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0" fillId="34" borderId="13" xfId="0" applyFont="1" applyFill="1" applyBorder="1" applyAlignment="1">
      <alignment horizontal="center" vertical="center" wrapText="1"/>
    </xf>
    <xf numFmtId="0" fontId="110" fillId="34" borderId="56" xfId="0" applyFont="1" applyFill="1" applyBorder="1" applyAlignment="1">
      <alignment horizontal="center" vertical="center" wrapText="1"/>
    </xf>
    <xf numFmtId="0" fontId="110" fillId="34" borderId="14" xfId="0" applyFont="1" applyFill="1" applyBorder="1" applyAlignment="1">
      <alignment horizontal="center" vertical="center" wrapText="1"/>
    </xf>
    <xf numFmtId="0" fontId="111" fillId="34" borderId="16" xfId="0" applyFont="1" applyFill="1" applyBorder="1" applyAlignment="1">
      <alignment horizontal="center" vertical="center" wrapText="1"/>
    </xf>
    <xf numFmtId="0" fontId="111" fillId="34" borderId="27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left" vertical="center" wrapText="1"/>
    </xf>
    <xf numFmtId="2" fontId="112" fillId="0" borderId="11" xfId="42" applyNumberFormat="1" applyFont="1" applyFill="1" applyBorder="1" applyAlignment="1">
      <alignment horizontal="center" vertical="center"/>
    </xf>
    <xf numFmtId="0" fontId="93" fillId="0" borderId="11" xfId="57" applyFont="1" applyFill="1" applyBorder="1" applyAlignment="1">
      <alignment horizontal="center" vertical="center" wrapText="1"/>
      <protection/>
    </xf>
    <xf numFmtId="43" fontId="106" fillId="0" borderId="11" xfId="42" applyNumberFormat="1" applyFont="1" applyFill="1" applyBorder="1" applyAlignment="1">
      <alignment horizontal="right" vertical="center" wrapText="1"/>
    </xf>
    <xf numFmtId="9" fontId="112" fillId="0" borderId="11" xfId="0" applyNumberFormat="1" applyFont="1" applyFill="1" applyBorder="1" applyAlignment="1">
      <alignment horizontal="center" vertical="center"/>
    </xf>
    <xf numFmtId="2" fontId="112" fillId="0" borderId="11" xfId="42" applyNumberFormat="1" applyFont="1" applyFill="1" applyBorder="1" applyAlignment="1">
      <alignment horizontal="right" vertical="center" wrapText="1"/>
    </xf>
    <xf numFmtId="43" fontId="112" fillId="0" borderId="11" xfId="42" applyNumberFormat="1" applyFont="1" applyFill="1" applyBorder="1" applyAlignment="1">
      <alignment horizontal="right" vertical="center" wrapText="1"/>
    </xf>
    <xf numFmtId="0" fontId="112" fillId="0" borderId="11" xfId="0" applyFont="1" applyFill="1" applyBorder="1" applyAlignment="1">
      <alignment horizontal="right" vertical="center" wrapText="1"/>
    </xf>
    <xf numFmtId="0" fontId="92" fillId="0" borderId="11" xfId="0" applyFont="1" applyFill="1" applyBorder="1" applyAlignment="1">
      <alignment vertical="center" wrapText="1"/>
    </xf>
    <xf numFmtId="165" fontId="92" fillId="0" borderId="11" xfId="42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 wrapText="1"/>
    </xf>
    <xf numFmtId="9" fontId="112" fillId="0" borderId="11" xfId="0" applyNumberFormat="1" applyFont="1" applyFill="1" applyBorder="1" applyAlignment="1">
      <alignment horizontal="center" vertical="center" wrapText="1"/>
    </xf>
    <xf numFmtId="167" fontId="112" fillId="0" borderId="11" xfId="42" applyNumberFormat="1" applyFont="1" applyFill="1" applyBorder="1" applyAlignment="1">
      <alignment horizontal="right" vertical="center" wrapText="1"/>
    </xf>
    <xf numFmtId="165" fontId="112" fillId="0" borderId="11" xfId="42" applyFont="1" applyFill="1" applyBorder="1" applyAlignment="1">
      <alignment horizontal="right" vertical="center" wrapText="1"/>
    </xf>
    <xf numFmtId="165" fontId="92" fillId="0" borderId="11" xfId="42" applyFont="1" applyFill="1" applyBorder="1" applyAlignment="1">
      <alignment horizontal="right" vertical="center" wrapText="1"/>
    </xf>
    <xf numFmtId="165" fontId="92" fillId="0" borderId="11" xfId="0" applyNumberFormat="1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left" vertical="center" wrapText="1"/>
    </xf>
    <xf numFmtId="0" fontId="112" fillId="0" borderId="16" xfId="0" applyFont="1" applyFill="1" applyBorder="1" applyAlignment="1">
      <alignment horizontal="center" vertical="center" wrapText="1"/>
    </xf>
    <xf numFmtId="2" fontId="112" fillId="0" borderId="16" xfId="42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 wrapText="1"/>
    </xf>
    <xf numFmtId="4" fontId="112" fillId="0" borderId="11" xfId="0" applyNumberFormat="1" applyFont="1" applyFill="1" applyBorder="1" applyAlignment="1">
      <alignment horizontal="right" vertical="center"/>
    </xf>
    <xf numFmtId="185" fontId="93" fillId="0" borderId="11" xfId="42" applyNumberFormat="1" applyFont="1" applyFill="1" applyBorder="1" applyAlignment="1">
      <alignment horizontal="right" vertical="center" wrapText="1"/>
    </xf>
    <xf numFmtId="0" fontId="92" fillId="0" borderId="11" xfId="0" applyFont="1" applyFill="1" applyBorder="1" applyAlignment="1">
      <alignment horizontal="right" vertical="center" wrapText="1"/>
    </xf>
    <xf numFmtId="165" fontId="9" fillId="0" borderId="11" xfId="42" applyFont="1" applyFill="1" applyBorder="1" applyAlignment="1">
      <alignment horizontal="right" vertical="center" wrapText="1"/>
    </xf>
    <xf numFmtId="190" fontId="92" fillId="0" borderId="11" xfId="42" applyNumberFormat="1" applyFont="1" applyFill="1" applyBorder="1" applyAlignment="1">
      <alignment horizontal="right" vertical="center" wrapText="1"/>
    </xf>
    <xf numFmtId="0" fontId="108" fillId="0" borderId="11" xfId="58" applyFont="1" applyFill="1" applyBorder="1" applyAlignment="1">
      <alignment horizontal="center" vertical="center" wrapText="1"/>
      <protection/>
    </xf>
    <xf numFmtId="188" fontId="93" fillId="0" borderId="11" xfId="42" applyNumberFormat="1" applyFont="1" applyFill="1" applyBorder="1" applyAlignment="1">
      <alignment horizontal="right" vertical="center" wrapText="1"/>
    </xf>
    <xf numFmtId="0" fontId="112" fillId="0" borderId="15" xfId="0" applyFont="1" applyFill="1" applyBorder="1" applyAlignment="1">
      <alignment horizontal="center" vertical="center" wrapText="1"/>
    </xf>
    <xf numFmtId="1" fontId="114" fillId="0" borderId="11" xfId="0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horizontal="center" vertical="center" wrapText="1"/>
    </xf>
    <xf numFmtId="181" fontId="85" fillId="0" borderId="11" xfId="46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181" fontId="0" fillId="0" borderId="0" xfId="4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11" fillId="0" borderId="11" xfId="42" applyNumberFormat="1" applyFont="1" applyFill="1" applyBorder="1" applyAlignment="1">
      <alignment horizontal="right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165" fontId="3" fillId="0" borderId="11" xfId="42" applyFont="1" applyFill="1" applyBorder="1" applyAlignment="1">
      <alignment horizontal="right" vertical="center" wrapText="1"/>
    </xf>
    <xf numFmtId="165" fontId="92" fillId="0" borderId="11" xfId="0" applyNumberFormat="1" applyFont="1" applyFill="1" applyBorder="1" applyAlignment="1">
      <alignment horizontal="right" vertical="center" wrapText="1"/>
    </xf>
    <xf numFmtId="0" fontId="85" fillId="0" borderId="15" xfId="0" applyFont="1" applyFill="1" applyBorder="1" applyAlignment="1">
      <alignment horizontal="center" vertical="center" wrapText="1"/>
    </xf>
    <xf numFmtId="181" fontId="85" fillId="0" borderId="16" xfId="46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1" fontId="0" fillId="0" borderId="16" xfId="46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8" fontId="10" fillId="0" borderId="11" xfId="42" applyNumberFormat="1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center" vertical="center" wrapText="1"/>
    </xf>
    <xf numFmtId="43" fontId="3" fillId="0" borderId="11" xfId="42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93" fillId="0" borderId="11" xfId="0" applyFont="1" applyFill="1" applyBorder="1" applyAlignment="1">
      <alignment horizontal="center" vertical="center" wrapText="1"/>
    </xf>
    <xf numFmtId="43" fontId="92" fillId="0" borderId="11" xfId="42" applyNumberFormat="1" applyFont="1" applyFill="1" applyBorder="1" applyAlignment="1">
      <alignment horizontal="right" vertical="center" wrapText="1"/>
    </xf>
    <xf numFmtId="4" fontId="93" fillId="0" borderId="11" xfId="0" applyNumberFormat="1" applyFont="1" applyFill="1" applyBorder="1" applyAlignment="1">
      <alignment horizontal="right" vertical="center"/>
    </xf>
    <xf numFmtId="165" fontId="93" fillId="0" borderId="11" xfId="42" applyFont="1" applyFill="1" applyBorder="1" applyAlignment="1">
      <alignment horizontal="right" vertical="center" wrapText="1"/>
    </xf>
    <xf numFmtId="0" fontId="94" fillId="0" borderId="0" xfId="0" applyFont="1" applyFill="1" applyAlignment="1">
      <alignment horizontal="center" vertical="center"/>
    </xf>
    <xf numFmtId="2" fontId="94" fillId="0" borderId="0" xfId="0" applyNumberFormat="1" applyFont="1" applyFill="1" applyAlignment="1">
      <alignment horizontal="right" vertical="center"/>
    </xf>
    <xf numFmtId="0" fontId="94" fillId="0" borderId="0" xfId="0" applyFont="1" applyFill="1" applyAlignment="1">
      <alignment horizontal="right" vertical="center"/>
    </xf>
    <xf numFmtId="0" fontId="95" fillId="0" borderId="0" xfId="0" applyFont="1" applyFill="1" applyAlignment="1">
      <alignment horizontal="center" vertical="center"/>
    </xf>
    <xf numFmtId="0" fontId="85" fillId="0" borderId="13" xfId="0" applyFont="1" applyFill="1" applyBorder="1" applyAlignment="1">
      <alignment horizontal="center" vertical="center" wrapText="1"/>
    </xf>
    <xf numFmtId="0" fontId="113" fillId="0" borderId="27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left" vertical="center" wrapText="1"/>
    </xf>
    <xf numFmtId="2" fontId="85" fillId="0" borderId="13" xfId="0" applyNumberFormat="1" applyFont="1" applyFill="1" applyBorder="1" applyAlignment="1">
      <alignment horizontal="center" vertical="center"/>
    </xf>
    <xf numFmtId="0" fontId="85" fillId="0" borderId="11" xfId="57" applyFont="1" applyFill="1" applyBorder="1" applyAlignment="1">
      <alignment horizontal="center" vertical="center" wrapText="1"/>
      <protection/>
    </xf>
    <xf numFmtId="4" fontId="106" fillId="0" borderId="13" xfId="0" applyNumberFormat="1" applyFont="1" applyFill="1" applyBorder="1" applyAlignment="1">
      <alignment vertical="center" wrapText="1"/>
    </xf>
    <xf numFmtId="43" fontId="112" fillId="0" borderId="14" xfId="42" applyNumberFormat="1" applyFont="1" applyFill="1" applyBorder="1" applyAlignment="1">
      <alignment horizontal="right" vertical="center" wrapText="1"/>
    </xf>
    <xf numFmtId="0" fontId="85" fillId="0" borderId="11" xfId="0" applyFont="1" applyFill="1" applyBorder="1" applyAlignment="1">
      <alignment vertical="center"/>
    </xf>
    <xf numFmtId="0" fontId="93" fillId="0" borderId="11" xfId="0" applyFont="1" applyFill="1" applyBorder="1" applyAlignment="1">
      <alignment vertical="center"/>
    </xf>
    <xf numFmtId="4" fontId="112" fillId="0" borderId="56" xfId="0" applyNumberFormat="1" applyFont="1" applyFill="1" applyBorder="1" applyAlignment="1">
      <alignment vertical="center"/>
    </xf>
    <xf numFmtId="194" fontId="112" fillId="0" borderId="11" xfId="42" applyNumberFormat="1" applyFont="1" applyFill="1" applyBorder="1" applyAlignment="1">
      <alignment horizontal="right" vertical="center" wrapText="1"/>
    </xf>
    <xf numFmtId="184" fontId="112" fillId="0" borderId="11" xfId="42" applyNumberFormat="1" applyFont="1" applyFill="1" applyBorder="1" applyAlignment="1">
      <alignment horizontal="right" vertical="center" wrapText="1"/>
    </xf>
    <xf numFmtId="0" fontId="113" fillId="0" borderId="16" xfId="0" applyFont="1" applyFill="1" applyBorder="1" applyAlignment="1">
      <alignment horizontal="left" vertical="center" wrapText="1"/>
    </xf>
    <xf numFmtId="2" fontId="85" fillId="0" borderId="16" xfId="42" applyNumberFormat="1" applyFont="1" applyFill="1" applyBorder="1" applyAlignment="1">
      <alignment horizontal="center" vertical="center"/>
    </xf>
    <xf numFmtId="167" fontId="112" fillId="0" borderId="14" xfId="42" applyNumberFormat="1" applyFont="1" applyFill="1" applyBorder="1" applyAlignment="1">
      <alignment horizontal="right" vertical="center" wrapText="1"/>
    </xf>
    <xf numFmtId="190" fontId="112" fillId="0" borderId="11" xfId="42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165" fontId="85" fillId="0" borderId="11" xfId="0" applyNumberFormat="1" applyFont="1" applyFill="1" applyBorder="1" applyAlignment="1">
      <alignment vertical="center"/>
    </xf>
    <xf numFmtId="165" fontId="93" fillId="0" borderId="11" xfId="0" applyNumberFormat="1" applyFont="1" applyFill="1" applyBorder="1" applyAlignment="1">
      <alignment vertical="center"/>
    </xf>
    <xf numFmtId="189" fontId="112" fillId="0" borderId="11" xfId="42" applyNumberFormat="1" applyFont="1" applyFill="1" applyBorder="1" applyAlignment="1">
      <alignment horizontal="right" vertical="center" wrapText="1"/>
    </xf>
    <xf numFmtId="43" fontId="112" fillId="0" borderId="11" xfId="42" applyNumberFormat="1" applyFont="1" applyFill="1" applyBorder="1" applyAlignment="1">
      <alignment horizontal="center" vertical="center" wrapText="1"/>
    </xf>
    <xf numFmtId="185" fontId="112" fillId="0" borderId="11" xfId="42" applyNumberFormat="1" applyFont="1" applyFill="1" applyBorder="1" applyAlignment="1">
      <alignment horizontal="right" vertical="center" wrapText="1"/>
    </xf>
    <xf numFmtId="188" fontId="112" fillId="0" borderId="11" xfId="42" applyNumberFormat="1" applyFont="1" applyFill="1" applyBorder="1" applyAlignment="1">
      <alignment horizontal="right" vertical="center" wrapText="1"/>
    </xf>
    <xf numFmtId="188" fontId="9" fillId="0" borderId="11" xfId="42" applyNumberFormat="1" applyFont="1" applyFill="1" applyBorder="1" applyAlignment="1">
      <alignment horizontal="right" vertical="center" wrapText="1"/>
    </xf>
    <xf numFmtId="4" fontId="106" fillId="0" borderId="11" xfId="0" applyNumberFormat="1" applyFont="1" applyFill="1" applyBorder="1" applyAlignment="1">
      <alignment vertical="center"/>
    </xf>
    <xf numFmtId="193" fontId="112" fillId="0" borderId="11" xfId="42" applyNumberFormat="1" applyFont="1" applyFill="1" applyBorder="1" applyAlignment="1">
      <alignment horizontal="right" vertical="center" wrapText="1"/>
    </xf>
    <xf numFmtId="4" fontId="106" fillId="0" borderId="11" xfId="0" applyNumberFormat="1" applyFont="1" applyFill="1" applyBorder="1" applyAlignment="1">
      <alignment vertical="center" wrapText="1"/>
    </xf>
    <xf numFmtId="165" fontId="106" fillId="0" borderId="11" xfId="42" applyFont="1" applyFill="1" applyBorder="1" applyAlignment="1">
      <alignment horizontal="right" vertical="center" wrapText="1"/>
    </xf>
    <xf numFmtId="39" fontId="112" fillId="0" borderId="11" xfId="42" applyNumberFormat="1" applyFont="1" applyFill="1" applyBorder="1" applyAlignment="1">
      <alignment horizontal="right" vertical="center" wrapText="1"/>
    </xf>
    <xf numFmtId="9" fontId="85" fillId="0" borderId="11" xfId="0" applyNumberFormat="1" applyFont="1" applyFill="1" applyBorder="1" applyAlignment="1">
      <alignment horizontal="center" vertical="center" wrapText="1"/>
    </xf>
    <xf numFmtId="189" fontId="9" fillId="0" borderId="11" xfId="42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/>
    </xf>
    <xf numFmtId="0" fontId="85" fillId="0" borderId="32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>
      <alignment horizontal="center" vertical="center" wrapText="1"/>
    </xf>
    <xf numFmtId="165" fontId="112" fillId="0" borderId="11" xfId="42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 wrapText="1"/>
    </xf>
    <xf numFmtId="9" fontId="49" fillId="0" borderId="11" xfId="0" applyNumberFormat="1" applyFont="1" applyFill="1" applyBorder="1" applyAlignment="1">
      <alignment horizontal="center" vertical="center" wrapText="1"/>
    </xf>
    <xf numFmtId="167" fontId="9" fillId="0" borderId="11" xfId="42" applyNumberFormat="1" applyFont="1" applyFill="1" applyBorder="1" applyAlignment="1">
      <alignment horizontal="right" vertical="center" wrapText="1"/>
    </xf>
    <xf numFmtId="165" fontId="9" fillId="0" borderId="11" xfId="42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9" fontId="64" fillId="0" borderId="11" xfId="0" applyNumberFormat="1" applyFont="1" applyFill="1" applyBorder="1" applyAlignment="1">
      <alignment horizontal="center" vertical="center" wrapText="1"/>
    </xf>
    <xf numFmtId="1" fontId="114" fillId="0" borderId="16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165" fontId="111" fillId="0" borderId="11" xfId="42" applyFont="1" applyFill="1" applyBorder="1" applyAlignment="1">
      <alignment horizontal="right" vertical="center" wrapText="1"/>
    </xf>
    <xf numFmtId="0" fontId="91" fillId="0" borderId="11" xfId="0" applyFont="1" applyFill="1" applyBorder="1" applyAlignment="1">
      <alignment horizontal="center" vertical="center" wrapText="1"/>
    </xf>
    <xf numFmtId="9" fontId="113" fillId="0" borderId="11" xfId="0" applyNumberFormat="1" applyFont="1" applyFill="1" applyBorder="1" applyAlignment="1">
      <alignment horizontal="center" vertical="center" wrapText="1"/>
    </xf>
    <xf numFmtId="167" fontId="93" fillId="0" borderId="11" xfId="42" applyNumberFormat="1" applyFont="1" applyFill="1" applyBorder="1" applyAlignment="1">
      <alignment horizontal="right" vertical="center" wrapText="1"/>
    </xf>
    <xf numFmtId="165" fontId="93" fillId="0" borderId="11" xfId="42" applyFont="1" applyFill="1" applyBorder="1" applyAlignment="1">
      <alignment horizontal="right" vertical="center"/>
    </xf>
    <xf numFmtId="167" fontId="10" fillId="0" borderId="11" xfId="42" applyNumberFormat="1" applyFont="1" applyFill="1" applyBorder="1" applyAlignment="1">
      <alignment horizontal="right" vertical="center" wrapText="1"/>
    </xf>
    <xf numFmtId="165" fontId="10" fillId="0" borderId="11" xfId="42" applyFont="1" applyFill="1" applyBorder="1" applyAlignment="1">
      <alignment horizontal="right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81" fontId="49" fillId="0" borderId="11" xfId="46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 2" xfId="56"/>
    <cellStyle name="Normalny 3" xfId="57"/>
    <cellStyle name="Normalny 3 2" xfId="58"/>
    <cellStyle name="Normalny 3 2 2" xfId="59"/>
    <cellStyle name="Normalny 3 3" xfId="60"/>
    <cellStyle name="Normalny 3 4" xfId="61"/>
    <cellStyle name="Normalny 3_gm podst" xfId="62"/>
    <cellStyle name="Normalny 4" xfId="63"/>
    <cellStyle name="Normalny 4 2" xfId="64"/>
    <cellStyle name="Obliczenia" xfId="65"/>
    <cellStyle name="Followed Hyperlink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dxfs count="11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32.140625" style="5" customWidth="1"/>
    <col min="2" max="2" width="11.57421875" style="1" customWidth="1"/>
    <col min="3" max="5" width="20.7109375" style="5" customWidth="1"/>
    <col min="6" max="6" width="16.140625" style="5" customWidth="1"/>
    <col min="7" max="7" width="16.00390625" style="5" customWidth="1"/>
    <col min="8" max="8" width="18.28125" style="5" customWidth="1"/>
    <col min="9" max="9" width="17.28125" style="5" customWidth="1"/>
    <col min="10" max="10" width="17.421875" style="5" customWidth="1"/>
    <col min="11" max="12" width="17.140625" style="5" bestFit="1" customWidth="1"/>
    <col min="13" max="13" width="10.8515625" style="5" customWidth="1"/>
    <col min="14" max="14" width="12.8515625" style="5" customWidth="1"/>
    <col min="15" max="15" width="9.28125" style="5" customWidth="1"/>
    <col min="16" max="16" width="8.8515625" style="5" customWidth="1"/>
    <col min="17" max="17" width="9.140625" style="3" customWidth="1"/>
    <col min="18" max="18" width="15.140625" style="3" bestFit="1" customWidth="1"/>
    <col min="19" max="19" width="11.7109375" style="3" bestFit="1" customWidth="1"/>
    <col min="20" max="16384" width="9.140625" style="3" customWidth="1"/>
  </cols>
  <sheetData>
    <row r="1" spans="1:23" s="199" customFormat="1" ht="30" customHeight="1" thickBot="1">
      <c r="A1" s="195" t="s">
        <v>238</v>
      </c>
      <c r="B1" s="196"/>
      <c r="C1" s="197"/>
      <c r="D1" s="197"/>
      <c r="E1" s="197"/>
      <c r="F1" s="175"/>
      <c r="G1" s="317"/>
      <c r="H1" s="340"/>
      <c r="I1" s="350"/>
      <c r="J1" s="340"/>
      <c r="K1" s="326"/>
      <c r="L1" s="315"/>
      <c r="M1" s="315"/>
      <c r="N1" s="316"/>
      <c r="O1" s="197"/>
      <c r="P1" s="197"/>
      <c r="Q1" s="198"/>
      <c r="R1" s="198"/>
      <c r="S1" s="198"/>
      <c r="T1" s="198"/>
      <c r="U1" s="198"/>
      <c r="V1" s="198"/>
      <c r="W1" s="198"/>
    </row>
    <row r="2" spans="1:23" s="203" customFormat="1" ht="15">
      <c r="A2" s="200"/>
      <c r="B2" s="201"/>
      <c r="C2" s="200"/>
      <c r="D2" s="200"/>
      <c r="E2" s="200"/>
      <c r="F2" s="383" t="s">
        <v>18</v>
      </c>
      <c r="G2" s="384"/>
      <c r="H2" s="384"/>
      <c r="I2" s="384"/>
      <c r="J2" s="384"/>
      <c r="K2" s="384"/>
      <c r="L2" s="384"/>
      <c r="M2" s="384"/>
      <c r="N2" s="385"/>
      <c r="O2" s="200"/>
      <c r="P2" s="200"/>
      <c r="Q2" s="202"/>
      <c r="R2" s="202"/>
      <c r="S2" s="202"/>
      <c r="T2" s="202"/>
      <c r="U2" s="202"/>
      <c r="V2" s="202"/>
      <c r="W2" s="202"/>
    </row>
    <row r="3" spans="1:23" s="203" customFormat="1" ht="15">
      <c r="A3" s="204"/>
      <c r="B3" s="201"/>
      <c r="C3" s="159"/>
      <c r="D3" s="159"/>
      <c r="E3" s="174"/>
      <c r="F3" s="386"/>
      <c r="G3" s="387"/>
      <c r="H3" s="387"/>
      <c r="I3" s="387"/>
      <c r="J3" s="387"/>
      <c r="K3" s="387"/>
      <c r="L3" s="387"/>
      <c r="M3" s="387"/>
      <c r="N3" s="388"/>
      <c r="O3" s="152"/>
      <c r="P3" s="152"/>
      <c r="W3" s="202"/>
    </row>
    <row r="4" spans="1:23" s="203" customFormat="1" ht="15">
      <c r="A4" s="205" t="s">
        <v>933</v>
      </c>
      <c r="B4" s="206"/>
      <c r="C4" s="159"/>
      <c r="D4" s="173"/>
      <c r="E4" s="172"/>
      <c r="F4" s="386"/>
      <c r="G4" s="387"/>
      <c r="H4" s="387"/>
      <c r="I4" s="387"/>
      <c r="J4" s="387"/>
      <c r="K4" s="387"/>
      <c r="L4" s="387"/>
      <c r="M4" s="387"/>
      <c r="N4" s="388"/>
      <c r="O4" s="152"/>
      <c r="P4" s="152"/>
      <c r="W4" s="207"/>
    </row>
    <row r="5" spans="1:23" s="203" customFormat="1" ht="15.75">
      <c r="A5" s="159"/>
      <c r="B5" s="206"/>
      <c r="C5" s="269"/>
      <c r="D5" s="348"/>
      <c r="E5" s="270"/>
      <c r="F5" s="386"/>
      <c r="G5" s="387"/>
      <c r="H5" s="387"/>
      <c r="I5" s="387"/>
      <c r="J5" s="387"/>
      <c r="K5" s="387"/>
      <c r="L5" s="387"/>
      <c r="M5" s="387"/>
      <c r="N5" s="388"/>
      <c r="O5" s="152"/>
      <c r="P5" s="152"/>
      <c r="W5" s="202"/>
    </row>
    <row r="6" spans="1:23" s="203" customFormat="1" ht="15.75">
      <c r="A6" s="205" t="s">
        <v>47</v>
      </c>
      <c r="B6" s="206"/>
      <c r="C6" s="271"/>
      <c r="D6" s="272"/>
      <c r="E6" s="172"/>
      <c r="F6" s="386"/>
      <c r="G6" s="387"/>
      <c r="H6" s="387"/>
      <c r="I6" s="387"/>
      <c r="J6" s="387"/>
      <c r="K6" s="387"/>
      <c r="L6" s="387"/>
      <c r="M6" s="387"/>
      <c r="N6" s="388"/>
      <c r="O6" s="152"/>
      <c r="P6" s="152"/>
      <c r="W6" s="207"/>
    </row>
    <row r="7" spans="1:23" s="203" customFormat="1" ht="16.5" thickBot="1">
      <c r="A7" s="159"/>
      <c r="B7" s="206"/>
      <c r="C7" s="269"/>
      <c r="D7" s="349"/>
      <c r="E7" s="174"/>
      <c r="F7" s="389" t="s">
        <v>19</v>
      </c>
      <c r="G7" s="390"/>
      <c r="H7" s="390"/>
      <c r="I7" s="390"/>
      <c r="J7" s="390"/>
      <c r="K7" s="390"/>
      <c r="L7" s="390"/>
      <c r="M7" s="390"/>
      <c r="N7" s="391"/>
      <c r="O7" s="152"/>
      <c r="P7" s="152"/>
      <c r="W7" s="202"/>
    </row>
    <row r="8" spans="1:23" s="203" customFormat="1" ht="15.75">
      <c r="A8" s="159"/>
      <c r="B8" s="206"/>
      <c r="C8" s="174"/>
      <c r="D8" s="304"/>
      <c r="E8" s="172"/>
      <c r="G8" s="305"/>
      <c r="H8" s="305"/>
      <c r="I8" s="306"/>
      <c r="J8" s="306"/>
      <c r="K8" s="306"/>
      <c r="L8" s="306"/>
      <c r="M8" s="306"/>
      <c r="N8" s="306"/>
      <c r="W8" s="202"/>
    </row>
    <row r="9" spans="1:23" s="203" customFormat="1" ht="19.5" customHeight="1" thickBot="1">
      <c r="A9" s="205" t="s">
        <v>0</v>
      </c>
      <c r="B9" s="206"/>
      <c r="C9" s="193"/>
      <c r="D9" s="272"/>
      <c r="E9" s="347"/>
      <c r="F9" s="306"/>
      <c r="G9" s="307"/>
      <c r="H9" s="307"/>
      <c r="I9" s="307"/>
      <c r="J9" s="307"/>
      <c r="K9" s="307"/>
      <c r="L9" s="307"/>
      <c r="M9" s="307"/>
      <c r="N9" s="307"/>
      <c r="W9" s="202"/>
    </row>
    <row r="10" spans="1:23" ht="19.5" customHeight="1">
      <c r="A10" s="392" t="s">
        <v>1</v>
      </c>
      <c r="B10" s="394" t="s">
        <v>33</v>
      </c>
      <c r="C10" s="396" t="s">
        <v>20</v>
      </c>
      <c r="D10" s="398" t="s">
        <v>21</v>
      </c>
      <c r="E10" s="400" t="s">
        <v>22</v>
      </c>
      <c r="F10" s="402" t="s">
        <v>12</v>
      </c>
      <c r="G10" s="403"/>
      <c r="H10" s="403"/>
      <c r="I10" s="403"/>
      <c r="J10" s="403"/>
      <c r="K10" s="403"/>
      <c r="L10" s="403"/>
      <c r="M10" s="403"/>
      <c r="N10" s="403"/>
      <c r="O10" s="404"/>
      <c r="P10" s="18"/>
      <c r="Q10" s="2"/>
      <c r="R10" s="2"/>
      <c r="S10" s="2"/>
      <c r="T10" s="2"/>
      <c r="W10" s="4"/>
    </row>
    <row r="11" spans="1:23" s="1" customFormat="1" ht="19.5" customHeight="1" thickBot="1">
      <c r="A11" s="393"/>
      <c r="B11" s="395"/>
      <c r="C11" s="397"/>
      <c r="D11" s="399"/>
      <c r="E11" s="401"/>
      <c r="F11" s="39">
        <v>2019</v>
      </c>
      <c r="G11" s="40">
        <v>2020</v>
      </c>
      <c r="H11" s="40">
        <v>2021</v>
      </c>
      <c r="I11" s="40">
        <v>2022</v>
      </c>
      <c r="J11" s="40">
        <v>2023</v>
      </c>
      <c r="K11" s="40">
        <v>2024</v>
      </c>
      <c r="L11" s="40">
        <v>2025</v>
      </c>
      <c r="M11" s="40">
        <v>2026</v>
      </c>
      <c r="N11" s="40">
        <v>2027</v>
      </c>
      <c r="O11" s="41">
        <v>2028</v>
      </c>
      <c r="P11" s="6"/>
      <c r="Q11" s="6"/>
      <c r="R11" s="6"/>
      <c r="S11" s="6"/>
      <c r="T11" s="6"/>
      <c r="U11" s="7"/>
      <c r="V11" s="7"/>
      <c r="W11" s="7"/>
    </row>
    <row r="12" spans="1:23" ht="39.75" customHeight="1" thickTop="1">
      <c r="A12" s="91" t="s">
        <v>35</v>
      </c>
      <c r="B12" s="78">
        <f>COUNTA('pow podst'!K3:K47)</f>
        <v>45</v>
      </c>
      <c r="C12" s="43">
        <f>SUM('pow podst'!J3:J47)</f>
        <v>340287395.74</v>
      </c>
      <c r="D12" s="44">
        <f>SUM('pow podst'!L3:L47)</f>
        <v>150250239.95999992</v>
      </c>
      <c r="E12" s="45">
        <f>SUM('pow podst'!K3:K47)</f>
        <v>190037155.78</v>
      </c>
      <c r="F12" s="46">
        <f>SUM('pow podst'!N3:N47)</f>
        <v>0</v>
      </c>
      <c r="G12" s="43">
        <f>SUM('pow podst'!O3:O47)</f>
        <v>2911251</v>
      </c>
      <c r="H12" s="43">
        <f>SUM('pow podst'!P3:P47)</f>
        <v>50732801</v>
      </c>
      <c r="I12" s="43">
        <f>SUM('pow podst'!Q3:Q47)</f>
        <v>89962764</v>
      </c>
      <c r="J12" s="43">
        <f>SUM('pow podst'!R3:R47)</f>
        <v>36151893.78</v>
      </c>
      <c r="K12" s="43">
        <f>SUM('pow podst'!S3:S47)</f>
        <v>8304611</v>
      </c>
      <c r="L12" s="43">
        <f>SUM('pow podst'!T3:T47)</f>
        <v>1973835</v>
      </c>
      <c r="M12" s="43">
        <f>SUM('pow podst'!U3:U47)</f>
        <v>0</v>
      </c>
      <c r="N12" s="43">
        <f>SUM('pow podst'!V3:V47)</f>
        <v>0</v>
      </c>
      <c r="O12" s="92">
        <f>SUM('pow podst'!W3:W47)</f>
        <v>0</v>
      </c>
      <c r="P12" s="19" t="b">
        <f aca="true" t="shared" si="0" ref="P12:P36">E12=SUM(F12:O12)</f>
        <v>1</v>
      </c>
      <c r="Q12" s="8"/>
      <c r="R12" s="8"/>
      <c r="S12" s="9"/>
      <c r="T12" s="9"/>
      <c r="U12" s="10"/>
      <c r="V12" s="4"/>
      <c r="W12" s="4"/>
    </row>
    <row r="13" spans="1:23" ht="39.75" customHeight="1">
      <c r="A13" s="93" t="s">
        <v>36</v>
      </c>
      <c r="B13" s="79">
        <f>COUNTIF('pow podst'!C3:C47,"K")</f>
        <v>21</v>
      </c>
      <c r="C13" s="66">
        <f>SUMIF('pow podst'!C3:C47,"K",'pow podst'!J3:J47)</f>
        <v>195078919.75</v>
      </c>
      <c r="D13" s="67">
        <f>SUMIF('pow podst'!C3:C47,"K",'pow podst'!L3:L47)</f>
        <v>84604530.74999997</v>
      </c>
      <c r="E13" s="22">
        <f>SUMIF('pow podst'!C3:C47,"K",'pow podst'!K3:K47)</f>
        <v>110474389</v>
      </c>
      <c r="F13" s="72">
        <f>SUMIF('pow podst'!C3:C47,"K",'pow podst'!N3:N47)</f>
        <v>0</v>
      </c>
      <c r="G13" s="66">
        <f>SUMIF('pow podst'!C3:C47,"K",'pow podst'!O3:O47)</f>
        <v>2911251</v>
      </c>
      <c r="H13" s="66">
        <f>SUMIF('pow podst'!C3:C47,"K",'pow podst'!P3:P47)</f>
        <v>50732801</v>
      </c>
      <c r="I13" s="66">
        <f>SUMIF('pow podst'!C3:C47,"K",'pow podst'!Q3:Q47)</f>
        <v>33584455</v>
      </c>
      <c r="J13" s="66">
        <f>SUMIF('pow podst'!C3:C47,"K",'pow podst'!R3:R47)</f>
        <v>23245882</v>
      </c>
      <c r="K13" s="66">
        <f>SUMIF('pow podst'!D3:D47,"K",'pow podst'!S3:S47)</f>
        <v>0</v>
      </c>
      <c r="L13" s="66">
        <f>SUMIF('pow podst'!E3:E47,"K",'pow podst'!T3:T47)</f>
        <v>0</v>
      </c>
      <c r="M13" s="66">
        <f>SUMIF('pow podst'!F3:F47,"K",'pow podst'!U3:U47)</f>
        <v>0</v>
      </c>
      <c r="N13" s="66">
        <f>SUMIF('pow podst'!C3:C47,"K",'pow podst'!V3:V47)</f>
        <v>0</v>
      </c>
      <c r="O13" s="94">
        <f>SUMIF('pow podst'!C3:C47,"K",'pow podst'!W3:W47)</f>
        <v>0</v>
      </c>
      <c r="P13" s="19" t="b">
        <f t="shared" si="0"/>
        <v>1</v>
      </c>
      <c r="Q13" s="8"/>
      <c r="R13" s="8"/>
      <c r="S13" s="9"/>
      <c r="T13" s="9"/>
      <c r="U13" s="10"/>
      <c r="V13" s="4"/>
      <c r="W13" s="4"/>
    </row>
    <row r="14" spans="1:23" ht="39.75" customHeight="1">
      <c r="A14" s="95" t="s">
        <v>37</v>
      </c>
      <c r="B14" s="80">
        <f>COUNTIF('pow podst'!C3:C47,"N")</f>
        <v>13</v>
      </c>
      <c r="C14" s="68">
        <f>SUMIF('pow podst'!C3:C47,"N",'pow podst'!J3:J47)</f>
        <v>50589066.73</v>
      </c>
      <c r="D14" s="69">
        <f>SUMIF('pow podst'!C3:C47,"N",'pow podst'!L3:L47)</f>
        <v>21486423.729999997</v>
      </c>
      <c r="E14" s="21">
        <f>SUMIF('pow podst'!C3:C47,"N",'pow podst'!K3:K47)</f>
        <v>29102643</v>
      </c>
      <c r="F14" s="73">
        <f>SUMIF('pow podst'!C3:C47,"N",'pow podst'!N3:N47)</f>
        <v>0</v>
      </c>
      <c r="G14" s="68">
        <f>SUMIF('pow podst'!C3:C47,"N",'pow podst'!O3:O47)</f>
        <v>0</v>
      </c>
      <c r="H14" s="68">
        <f>SUMIF('pow podst'!C3:C47,"N",'pow podst'!P3:P47)</f>
        <v>0</v>
      </c>
      <c r="I14" s="68">
        <f>SUMIF('pow podst'!C3:C47,"N",'pow podst'!Q3:Q47)</f>
        <v>29102643</v>
      </c>
      <c r="J14" s="68">
        <f>SUMIF('pow podst'!C3:C47,"N",'pow podst'!R3:R47)</f>
        <v>0</v>
      </c>
      <c r="K14" s="68">
        <f>SUMIF('pow podst'!D3:D47,"N",'pow podst'!S3:S47)</f>
        <v>0</v>
      </c>
      <c r="L14" s="68">
        <f>SUMIF('pow podst'!E3:E47,"N",'pow podst'!T3:T47)</f>
        <v>0</v>
      </c>
      <c r="M14" s="68">
        <f>SUMIF('pow podst'!F3:F47,"N",'pow podst'!U3:U47)</f>
        <v>0</v>
      </c>
      <c r="N14" s="68">
        <f>SUMIF('pow podst'!G3:G47,"N",'pow podst'!V3:V47)</f>
        <v>0</v>
      </c>
      <c r="O14" s="68">
        <f>SUMIF('pow podst'!H3:H47,"N",'pow podst'!W3:W47)</f>
        <v>0</v>
      </c>
      <c r="P14" s="19" t="b">
        <f t="shared" si="0"/>
        <v>1</v>
      </c>
      <c r="Q14" s="8"/>
      <c r="R14" s="8"/>
      <c r="S14" s="9"/>
      <c r="T14" s="9"/>
      <c r="U14" s="10"/>
      <c r="V14" s="4"/>
      <c r="W14" s="4"/>
    </row>
    <row r="15" spans="1:23" ht="39.75" customHeight="1" thickBot="1">
      <c r="A15" s="97" t="s">
        <v>38</v>
      </c>
      <c r="B15" s="81">
        <f>COUNTIF('pow podst'!C3:C47,"W")</f>
        <v>11</v>
      </c>
      <c r="C15" s="70">
        <f>SUMIF('pow podst'!C3:C47,"W",'pow podst'!J3:J47)</f>
        <v>94619409.25999999</v>
      </c>
      <c r="D15" s="71">
        <f>SUMIF('pow podst'!C3:C47,"W",'pow podst'!L3:L47)</f>
        <v>44159285.480000004</v>
      </c>
      <c r="E15" s="47">
        <f>SUMIF('pow podst'!C3:C47,"W",'pow podst'!K3:K47)</f>
        <v>50460123.78</v>
      </c>
      <c r="F15" s="74">
        <f>SUMIF('pow podst'!C3:C47,"W",'pow podst'!N3:N47)</f>
        <v>0</v>
      </c>
      <c r="G15" s="70">
        <f>SUMIF('pow podst'!C3:C47,"W",'pow podst'!O3:O47)</f>
        <v>0</v>
      </c>
      <c r="H15" s="70">
        <f>SUMIF('pow podst'!C3:C47,"W",'pow podst'!P3:P47)</f>
        <v>0</v>
      </c>
      <c r="I15" s="70">
        <f>SUMIF('pow podst'!C3:C47,"W",'pow podst'!Q3:Q47)</f>
        <v>27275666</v>
      </c>
      <c r="J15" s="70">
        <f>SUMIF('pow podst'!C3:C47,"W",'pow podst'!R3:R47)</f>
        <v>12906011.78</v>
      </c>
      <c r="K15" s="70">
        <f>SUMIF('pow podst'!C3:C47,"W",'pow podst'!S3:S47)</f>
        <v>8304611</v>
      </c>
      <c r="L15" s="70">
        <f>SUMIF('pow podst'!C3:C47,"W",'pow podst'!T3:T47)</f>
        <v>1973835</v>
      </c>
      <c r="M15" s="70">
        <f>SUMIF('pow podst'!F3:F47,"W",'pow podst'!U3:U47)</f>
        <v>0</v>
      </c>
      <c r="N15" s="70">
        <f>SUMIF('pow podst'!G3:G47,"W",'pow podst'!V3:V47)</f>
        <v>0</v>
      </c>
      <c r="O15" s="70">
        <f>SUMIF('pow podst'!H3:H47,"W",'pow podst'!W3:W47)</f>
        <v>0</v>
      </c>
      <c r="P15" s="324" t="b">
        <f t="shared" si="0"/>
        <v>1</v>
      </c>
      <c r="Q15" s="8"/>
      <c r="R15" s="8"/>
      <c r="S15" s="9"/>
      <c r="T15" s="9"/>
      <c r="U15" s="10"/>
      <c r="V15" s="4"/>
      <c r="W15" s="4"/>
    </row>
    <row r="16" spans="1:23" ht="39.75" customHeight="1" thickTop="1">
      <c r="A16" s="91" t="s">
        <v>39</v>
      </c>
      <c r="B16" s="78">
        <f>COUNTA('gm podst'!L3:L137)</f>
        <v>135</v>
      </c>
      <c r="C16" s="43">
        <f>SUM('gm podst'!K3:K137)</f>
        <v>451594779.0299998</v>
      </c>
      <c r="D16" s="44">
        <f>SUM('gm podst'!M3:M137)</f>
        <v>188421644.8699999</v>
      </c>
      <c r="E16" s="45">
        <f>SUM('gm podst'!L3:L137)</f>
        <v>263173134.16</v>
      </c>
      <c r="F16" s="75">
        <f>SUM('gm podst'!O3:O137)</f>
        <v>108718</v>
      </c>
      <c r="G16" s="76">
        <f>SUM('gm podst'!P3:P137)</f>
        <v>4494460</v>
      </c>
      <c r="H16" s="76">
        <f>SUM('gm podst'!Q3:Q137)</f>
        <v>36883024</v>
      </c>
      <c r="I16" s="76">
        <f>SUM('gm podst'!R3:R137)</f>
        <v>112734286.16</v>
      </c>
      <c r="J16" s="76">
        <f>SUM('gm podst'!S3:S137)</f>
        <v>37188354</v>
      </c>
      <c r="K16" s="76">
        <f>SUM('gm podst'!T3:T137)</f>
        <v>60734324</v>
      </c>
      <c r="L16" s="76">
        <f>SUM('gm podst'!U3:U137)</f>
        <v>11029968</v>
      </c>
      <c r="M16" s="76">
        <f>SUM('gm podst'!V3:V137)</f>
        <v>0</v>
      </c>
      <c r="N16" s="76">
        <f>SUM('gm podst'!W3:W137)</f>
        <v>0</v>
      </c>
      <c r="O16" s="76">
        <f>SUM('gm podst'!X3:X137)</f>
        <v>0</v>
      </c>
      <c r="P16" s="19" t="b">
        <f t="shared" si="0"/>
        <v>1</v>
      </c>
      <c r="Q16" s="8"/>
      <c r="R16" s="8"/>
      <c r="S16" s="9"/>
      <c r="T16" s="9"/>
      <c r="U16" s="9"/>
      <c r="V16" s="9"/>
      <c r="W16" s="9"/>
    </row>
    <row r="17" spans="1:23" ht="39.75" customHeight="1">
      <c r="A17" s="93" t="s">
        <v>36</v>
      </c>
      <c r="B17" s="79">
        <f>COUNTIF('gm podst'!C3:C137,"K")</f>
        <v>46</v>
      </c>
      <c r="C17" s="66">
        <f>SUMIF('gm podst'!C3:C137,"K",'gm podst'!K3:K137)</f>
        <v>187134668.37999997</v>
      </c>
      <c r="D17" s="67">
        <f>SUMIF('gm podst'!C3:C137,"K",'gm podst'!M3:M137)</f>
        <v>74102484.37999998</v>
      </c>
      <c r="E17" s="22">
        <f>SUMIF('gm podst'!C3:C137,"K",'gm podst'!L3:L137)</f>
        <v>113032184</v>
      </c>
      <c r="F17" s="72">
        <f>SUMIF('gm podst'!C3:C137,"K",'gm podst'!O3:O137)</f>
        <v>108718</v>
      </c>
      <c r="G17" s="66">
        <f>SUMIF('gm podst'!C3:C137,"K",'gm podst'!P3:P137)</f>
        <v>4494460</v>
      </c>
      <c r="H17" s="66">
        <f>SUMIF('gm podst'!C3:C137,"K",'gm podst'!Q3:Q137)</f>
        <v>36883024</v>
      </c>
      <c r="I17" s="66">
        <f>SUMIF('gm podst'!C3:C137,"K",'gm podst'!R3:R137)</f>
        <v>37267320</v>
      </c>
      <c r="J17" s="66">
        <f>SUMIF('gm podst'!C3:C137,"K",'gm podst'!S3:S137)</f>
        <v>20366189</v>
      </c>
      <c r="K17" s="66">
        <f>SUMIF('gm podst'!C3:C137,"K",'gm podst'!T3:T137)</f>
        <v>13912473</v>
      </c>
      <c r="L17" s="66">
        <f>SUMIF('gm podst'!C3:C137,"K",'gm podst'!U3:U137)</f>
        <v>0</v>
      </c>
      <c r="M17" s="66">
        <f>SUMIF('gm podst'!C3:C137,"K",'gm podst'!V3:V137)</f>
        <v>0</v>
      </c>
      <c r="N17" s="66">
        <f>SUMIF('gm podst'!C3:C137,"K",'gm podst'!W3:W137)</f>
        <v>0</v>
      </c>
      <c r="O17" s="66">
        <f>SUMIF('gm podst'!H3:H137,"K",'gm podst'!X3:X137)</f>
        <v>0</v>
      </c>
      <c r="P17" s="19" t="b">
        <f t="shared" si="0"/>
        <v>1</v>
      </c>
      <c r="Q17" s="8"/>
      <c r="R17" s="8"/>
      <c r="S17" s="9"/>
      <c r="T17" s="9"/>
      <c r="U17" s="9"/>
      <c r="V17" s="9"/>
      <c r="W17" s="9"/>
    </row>
    <row r="18" spans="1:23" ht="39.75" customHeight="1">
      <c r="A18" s="95" t="s">
        <v>37</v>
      </c>
      <c r="B18" s="80">
        <f>COUNTIF('gm podst'!C3:C137,"N")</f>
        <v>64</v>
      </c>
      <c r="C18" s="68">
        <f>SUMIF('gm podst'!C3:C137,"N",'gm podst'!K3:K137)</f>
        <v>88048207.37000006</v>
      </c>
      <c r="D18" s="69">
        <f>SUMIF('gm podst'!C3:C137,"N",'gm podst'!M3:M137)</f>
        <v>33754119.21000001</v>
      </c>
      <c r="E18" s="21">
        <f>SUMIF('gm podst'!C3:C137,"N",'gm podst'!L3:L137)</f>
        <v>54294088.16</v>
      </c>
      <c r="F18" s="73">
        <f>SUMIF('gm podst'!C3:C137,"N",'gm podst'!O3:O137)</f>
        <v>0</v>
      </c>
      <c r="G18" s="68">
        <f>SUMIF('gm podst'!C3:C137,"N",'gm podst'!P3:P137)</f>
        <v>0</v>
      </c>
      <c r="H18" s="68">
        <f>SUMIF('gm podst'!C3:C137,"N",'gm podst'!Q3:Q137)</f>
        <v>0</v>
      </c>
      <c r="I18" s="68">
        <f>SUMIF('gm podst'!C3:C137,"N",'gm podst'!R3:R137)</f>
        <v>54294088.16</v>
      </c>
      <c r="J18" s="68">
        <f>SUMIF('gm podst'!C3:C137,"N",'gm podst'!S3:S137)</f>
        <v>0</v>
      </c>
      <c r="K18" s="68">
        <f>SUMIF('gm podst'!C3:C137,"N",'gm podst'!T3:T137)</f>
        <v>0</v>
      </c>
      <c r="L18" s="68">
        <f>SUMIF('gm podst'!C3:C137,"N",'gm podst'!U3:U137)</f>
        <v>0</v>
      </c>
      <c r="M18" s="68">
        <f>SUMIF('gm podst'!C3:C137,"N",'gm podst'!V3:V137)</f>
        <v>0</v>
      </c>
      <c r="N18" s="68">
        <f>SUMIF('gm podst'!C3:C137,"N",'gm podst'!W3:W137)</f>
        <v>0</v>
      </c>
      <c r="O18" s="68">
        <f>SUMIF('gm podst'!H3:H137,"N",'gm podst'!X3:X137)</f>
        <v>0</v>
      </c>
      <c r="P18" s="19" t="b">
        <f t="shared" si="0"/>
        <v>1</v>
      </c>
      <c r="Q18" s="8"/>
      <c r="R18" s="8"/>
      <c r="S18" s="9"/>
      <c r="T18" s="9"/>
      <c r="U18" s="9"/>
      <c r="V18" s="9"/>
      <c r="W18" s="9"/>
    </row>
    <row r="19" spans="1:23" ht="39.75" customHeight="1" thickBot="1">
      <c r="A19" s="97" t="s">
        <v>38</v>
      </c>
      <c r="B19" s="81">
        <f>COUNTIF('gm podst'!C3:C137,"W")</f>
        <v>25</v>
      </c>
      <c r="C19" s="70">
        <f>SUMIF('gm podst'!C3:C137,"W",'gm podst'!K3:K137)</f>
        <v>176411903.28</v>
      </c>
      <c r="D19" s="71">
        <f>SUMIF('gm podst'!C3:C137,"W",'gm podst'!M3:M137)</f>
        <v>80565041.27999999</v>
      </c>
      <c r="E19" s="47">
        <f>SUMIF('gm podst'!C3:C137,"W",'gm podst'!L3:L137)</f>
        <v>95846862</v>
      </c>
      <c r="F19" s="74">
        <f>SUMIF('gm podst'!C3:C137,"W",'gm podst'!O3:O137)</f>
        <v>0</v>
      </c>
      <c r="G19" s="70">
        <f>SUMIF('gm podst'!C3:C137,"W",'gm podst'!P3:P137)</f>
        <v>0</v>
      </c>
      <c r="H19" s="70">
        <f>SUMIF('gm podst'!C3:C137,"W",'gm podst'!Q3:Q137)</f>
        <v>0</v>
      </c>
      <c r="I19" s="70">
        <f>SUMIF('gm podst'!C3:C137,"W",'gm podst'!R3:R137)</f>
        <v>21172878</v>
      </c>
      <c r="J19" s="70">
        <f>SUMIF('gm podst'!C3:C137,"W",'gm podst'!S3:S137)</f>
        <v>16822165</v>
      </c>
      <c r="K19" s="70">
        <f>SUMIF('gm podst'!C3:C137,"W",'gm podst'!T3:T137)</f>
        <v>46821851</v>
      </c>
      <c r="L19" s="70">
        <f>SUMIF('gm podst'!C3:C137,"W",'gm podst'!U3:U137)</f>
        <v>11029968</v>
      </c>
      <c r="M19" s="70">
        <f>SUMIF('gm podst'!C3:C137,"W",'gm podst'!V3:V137)</f>
        <v>0</v>
      </c>
      <c r="N19" s="70">
        <f>SUMIF('gm podst'!C3:C137,"W",'gm podst'!W3:W137)</f>
        <v>0</v>
      </c>
      <c r="O19" s="70">
        <f>SUMIF('gm podst'!H3:H137,"W",'gm podst'!X3:X137)</f>
        <v>0</v>
      </c>
      <c r="P19" s="19" t="b">
        <f t="shared" si="0"/>
        <v>1</v>
      </c>
      <c r="Q19" s="8"/>
      <c r="R19" s="8"/>
      <c r="S19" s="9"/>
      <c r="T19" s="9"/>
      <c r="U19" s="9"/>
      <c r="V19" s="9"/>
      <c r="W19" s="9"/>
    </row>
    <row r="20" spans="1:23" s="243" customFormat="1" ht="39.75" customHeight="1" thickTop="1">
      <c r="A20" s="237" t="s">
        <v>40</v>
      </c>
      <c r="B20" s="238">
        <f>B12+B16</f>
        <v>180</v>
      </c>
      <c r="C20" s="239">
        <f>C12+C16</f>
        <v>791882174.7699997</v>
      </c>
      <c r="D20" s="240">
        <f aca="true" t="shared" si="1" ref="C20:O22">D12+D16</f>
        <v>338671884.8299998</v>
      </c>
      <c r="E20" s="45">
        <f t="shared" si="1"/>
        <v>453210289.94</v>
      </c>
      <c r="F20" s="241">
        <f t="shared" si="1"/>
        <v>108718</v>
      </c>
      <c r="G20" s="239">
        <f t="shared" si="1"/>
        <v>7405711</v>
      </c>
      <c r="H20" s="239">
        <f t="shared" si="1"/>
        <v>87615825</v>
      </c>
      <c r="I20" s="239">
        <f t="shared" si="1"/>
        <v>202697050.16</v>
      </c>
      <c r="J20" s="239">
        <f t="shared" si="1"/>
        <v>73340247.78</v>
      </c>
      <c r="K20" s="239">
        <f t="shared" si="1"/>
        <v>69038935</v>
      </c>
      <c r="L20" s="239">
        <f t="shared" si="1"/>
        <v>13003803</v>
      </c>
      <c r="M20" s="239">
        <f t="shared" si="1"/>
        <v>0</v>
      </c>
      <c r="N20" s="239">
        <f t="shared" si="1"/>
        <v>0</v>
      </c>
      <c r="O20" s="242">
        <f t="shared" si="1"/>
        <v>0</v>
      </c>
      <c r="P20" s="19" t="b">
        <f t="shared" si="0"/>
        <v>1</v>
      </c>
      <c r="Q20" s="11"/>
      <c r="R20" s="11"/>
      <c r="S20" s="12"/>
      <c r="T20" s="12"/>
      <c r="U20" s="12"/>
      <c r="V20" s="12"/>
      <c r="W20" s="12"/>
    </row>
    <row r="21" spans="1:23" s="13" customFormat="1" ht="39.75" customHeight="1">
      <c r="A21" s="99" t="s">
        <v>36</v>
      </c>
      <c r="B21" s="82">
        <f>B13+B17</f>
        <v>67</v>
      </c>
      <c r="C21" s="24">
        <f t="shared" si="1"/>
        <v>382213588.13</v>
      </c>
      <c r="D21" s="30">
        <f t="shared" si="1"/>
        <v>158707015.12999994</v>
      </c>
      <c r="E21" s="22">
        <f t="shared" si="1"/>
        <v>223506573</v>
      </c>
      <c r="F21" s="34">
        <f t="shared" si="1"/>
        <v>108718</v>
      </c>
      <c r="G21" s="24">
        <f t="shared" si="1"/>
        <v>7405711</v>
      </c>
      <c r="H21" s="24">
        <f>H13+H17</f>
        <v>87615825</v>
      </c>
      <c r="I21" s="24">
        <f>I13+I17</f>
        <v>70851775</v>
      </c>
      <c r="J21" s="24">
        <f t="shared" si="1"/>
        <v>43612071</v>
      </c>
      <c r="K21" s="24">
        <f t="shared" si="1"/>
        <v>13912473</v>
      </c>
      <c r="L21" s="24">
        <f t="shared" si="1"/>
        <v>0</v>
      </c>
      <c r="M21" s="24">
        <f t="shared" si="1"/>
        <v>0</v>
      </c>
      <c r="N21" s="24">
        <f t="shared" si="1"/>
        <v>0</v>
      </c>
      <c r="O21" s="100">
        <f t="shared" si="1"/>
        <v>0</v>
      </c>
      <c r="P21" s="19" t="b">
        <f t="shared" si="0"/>
        <v>1</v>
      </c>
      <c r="Q21" s="11"/>
      <c r="R21" s="11"/>
      <c r="S21" s="12"/>
      <c r="T21" s="12"/>
      <c r="U21" s="12"/>
      <c r="V21" s="12"/>
      <c r="W21" s="12"/>
    </row>
    <row r="22" spans="1:23" s="13" customFormat="1" ht="39.75" customHeight="1">
      <c r="A22" s="101" t="s">
        <v>37</v>
      </c>
      <c r="B22" s="83">
        <f>B14+B18</f>
        <v>77</v>
      </c>
      <c r="C22" s="27">
        <f t="shared" si="1"/>
        <v>138637274.10000005</v>
      </c>
      <c r="D22" s="31">
        <f t="shared" si="1"/>
        <v>55240542.940000005</v>
      </c>
      <c r="E22" s="21">
        <f t="shared" si="1"/>
        <v>83396731.16</v>
      </c>
      <c r="F22" s="35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83396731.16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102">
        <f t="shared" si="1"/>
        <v>0</v>
      </c>
      <c r="P22" s="19" t="b">
        <f t="shared" si="0"/>
        <v>1</v>
      </c>
      <c r="Q22" s="11"/>
      <c r="R22" s="11"/>
      <c r="S22" s="12"/>
      <c r="T22" s="12"/>
      <c r="U22" s="12"/>
      <c r="V22" s="12"/>
      <c r="W22" s="12"/>
    </row>
    <row r="23" spans="1:23" s="13" customFormat="1" ht="39.75" customHeight="1" thickBot="1">
      <c r="A23" s="103" t="s">
        <v>38</v>
      </c>
      <c r="B23" s="84">
        <f>B15+B19</f>
        <v>36</v>
      </c>
      <c r="C23" s="48">
        <f aca="true" t="shared" si="2" ref="C23:O23">C15+C19</f>
        <v>271031312.53999996</v>
      </c>
      <c r="D23" s="49">
        <f t="shared" si="2"/>
        <v>124724326.75999999</v>
      </c>
      <c r="E23" s="47">
        <f t="shared" si="2"/>
        <v>146306985.78</v>
      </c>
      <c r="F23" s="50">
        <f t="shared" si="2"/>
        <v>0</v>
      </c>
      <c r="G23" s="48">
        <f t="shared" si="2"/>
        <v>0</v>
      </c>
      <c r="H23" s="48">
        <f t="shared" si="2"/>
        <v>0</v>
      </c>
      <c r="I23" s="48">
        <f t="shared" si="2"/>
        <v>48448544</v>
      </c>
      <c r="J23" s="48">
        <f t="shared" si="2"/>
        <v>29728176.78</v>
      </c>
      <c r="K23" s="48">
        <f t="shared" si="2"/>
        <v>55126462</v>
      </c>
      <c r="L23" s="48">
        <f t="shared" si="2"/>
        <v>13003803</v>
      </c>
      <c r="M23" s="48">
        <f t="shared" si="2"/>
        <v>0</v>
      </c>
      <c r="N23" s="48">
        <f t="shared" si="2"/>
        <v>0</v>
      </c>
      <c r="O23" s="104">
        <f t="shared" si="2"/>
        <v>0</v>
      </c>
      <c r="P23" s="324" t="b">
        <f t="shared" si="0"/>
        <v>1</v>
      </c>
      <c r="Q23" s="11"/>
      <c r="R23" s="11"/>
      <c r="S23" s="12"/>
      <c r="T23" s="12"/>
      <c r="U23" s="12"/>
      <c r="V23" s="12"/>
      <c r="W23" s="12"/>
    </row>
    <row r="24" spans="1:23" ht="39.75" customHeight="1" thickTop="1">
      <c r="A24" s="91" t="s">
        <v>2</v>
      </c>
      <c r="B24" s="78">
        <f>COUNTA('pow rez'!K3:K19)</f>
        <v>17</v>
      </c>
      <c r="C24" s="43">
        <f>SUM('pow rez'!J3:J19)</f>
        <v>163275444.66</v>
      </c>
      <c r="D24" s="44">
        <f>SUM('pow rez'!L3:L19)</f>
        <v>80992756.66</v>
      </c>
      <c r="E24" s="45">
        <f>SUM('pow rez'!K3:K19)</f>
        <v>82282688</v>
      </c>
      <c r="F24" s="46">
        <f>SUM('pow rez'!N3:N19)</f>
        <v>0</v>
      </c>
      <c r="G24" s="43">
        <f>SUM('pow rez'!O3:O19)</f>
        <v>0</v>
      </c>
      <c r="H24" s="43">
        <f>SUM('pow rez'!P3:P19)</f>
        <v>0</v>
      </c>
      <c r="I24" s="43">
        <f>SUM('pow rez'!Q3:Q19)</f>
        <v>31465464</v>
      </c>
      <c r="J24" s="43">
        <f>SUM('pow rez'!R3:R19)</f>
        <v>29678178</v>
      </c>
      <c r="K24" s="43">
        <f>SUM('pow rez'!S3:S19)</f>
        <v>15452556</v>
      </c>
      <c r="L24" s="43">
        <f>SUM('pow rez'!T3:T19)</f>
        <v>5686490</v>
      </c>
      <c r="M24" s="43">
        <f>SUM('pow rez'!U3:U19)</f>
        <v>0</v>
      </c>
      <c r="N24" s="43">
        <f>SUM('pow rez'!V3:V19)</f>
        <v>0</v>
      </c>
      <c r="O24" s="92">
        <f>SUM('pow rez'!W3:W19)</f>
        <v>0</v>
      </c>
      <c r="P24" s="19" t="b">
        <f t="shared" si="0"/>
        <v>1</v>
      </c>
      <c r="Q24" s="8"/>
      <c r="R24" s="8"/>
      <c r="S24" s="9"/>
      <c r="T24" s="9"/>
      <c r="U24" s="9"/>
      <c r="V24" s="9"/>
      <c r="W24" s="9"/>
    </row>
    <row r="25" spans="1:23" ht="39.75" customHeight="1">
      <c r="A25" s="95" t="s">
        <v>37</v>
      </c>
      <c r="B25" s="80">
        <f>COUNTIF('pow rez'!C3:C19,"N")</f>
        <v>3</v>
      </c>
      <c r="C25" s="68">
        <f>SUMIF('pow rez'!C3:C19,"N",'pow rez'!J3:J19)</f>
        <v>8793034.81</v>
      </c>
      <c r="D25" s="69">
        <f>SUMIF('pow rez'!C3:C19,"N",'pow rez'!L3:L19)</f>
        <v>4396518.8100000005</v>
      </c>
      <c r="E25" s="21">
        <f>SUMIF('pow rez'!C3:C19,"N",'pow rez'!K3:K19)</f>
        <v>4396516</v>
      </c>
      <c r="F25" s="73">
        <f>SUMIF('pow rez'!C3:C19,"N",'pow rez'!N3:N19)</f>
        <v>0</v>
      </c>
      <c r="G25" s="68">
        <f>SUMIF('pow rez'!C3:C19,"N",'pow rez'!O3:O19)</f>
        <v>0</v>
      </c>
      <c r="H25" s="68">
        <f>SUMIF('pow rez'!C3:C19,"N",'pow rez'!P3:P19)</f>
        <v>0</v>
      </c>
      <c r="I25" s="68">
        <f>SUMIF('pow rez'!C3:C19,"N",'pow rez'!Q3:Q19)</f>
        <v>4396516</v>
      </c>
      <c r="J25" s="68">
        <f>SUMIF('pow rez'!C3:C19,"N",'pow rez'!R3:R19)</f>
        <v>0</v>
      </c>
      <c r="K25" s="68">
        <f>SUMIF('pow rez'!C3:C19,"N",'pow rez'!S3:S19)</f>
        <v>0</v>
      </c>
      <c r="L25" s="68">
        <f>SUMIF('pow rez'!C3:C19,"N",'pow rez'!T3:T19)</f>
        <v>0</v>
      </c>
      <c r="M25" s="68">
        <f>SUMIF('pow rez'!C3:C19,"N",'pow rez'!U3:U19)</f>
        <v>0</v>
      </c>
      <c r="N25" s="68">
        <f>SUMIF('pow rez'!C3:C19,"N",'pow rez'!V3:V19)</f>
        <v>0</v>
      </c>
      <c r="O25" s="96">
        <f>SUMIF('pow rez'!C3:C19,"N",'pow rez'!W3:W19)</f>
        <v>0</v>
      </c>
      <c r="P25" s="19" t="b">
        <f t="shared" si="0"/>
        <v>1</v>
      </c>
      <c r="Q25" s="8"/>
      <c r="R25" s="8"/>
      <c r="S25" s="9"/>
      <c r="T25" s="9"/>
      <c r="U25" s="9"/>
      <c r="V25" s="9"/>
      <c r="W25" s="9"/>
    </row>
    <row r="26" spans="1:23" ht="39.75" customHeight="1" thickBot="1">
      <c r="A26" s="97" t="s">
        <v>38</v>
      </c>
      <c r="B26" s="81">
        <f>COUNTIF('pow rez'!C3:C19,"W")</f>
        <v>14</v>
      </c>
      <c r="C26" s="70">
        <f>SUMIF('pow rez'!C3:C19,"W",'pow rez'!J3:J19)</f>
        <v>154482409.85</v>
      </c>
      <c r="D26" s="71">
        <f>SUMIF('pow rez'!C3:C19,"W",'pow rez'!L3:L19)</f>
        <v>76596237.85</v>
      </c>
      <c r="E26" s="47">
        <f>SUMIF('pow rez'!C3:C19,"W",'pow rez'!K3:K19)</f>
        <v>77886172</v>
      </c>
      <c r="F26" s="74">
        <f>SUMIF('pow rez'!C3:C19,"W",'pow rez'!N3:N19)</f>
        <v>0</v>
      </c>
      <c r="G26" s="70">
        <f>SUMIF('pow rez'!C3:C19,"W",'pow rez'!O3:O19)</f>
        <v>0</v>
      </c>
      <c r="H26" s="70">
        <f>SUMIF('pow rez'!C3:C19,"W",'pow rez'!P3:P19)</f>
        <v>0</v>
      </c>
      <c r="I26" s="70">
        <f>SUMIF('pow rez'!C3:C19,"W",'pow rez'!Q3:Q19)</f>
        <v>27068948</v>
      </c>
      <c r="J26" s="70">
        <f>SUMIF('pow rez'!C3:C19,"W",'pow rez'!R3:R19)</f>
        <v>29678178</v>
      </c>
      <c r="K26" s="70">
        <f>SUMIF('pow rez'!C3:C19,"W",'pow rez'!S3:S19)</f>
        <v>15452556</v>
      </c>
      <c r="L26" s="70">
        <f>SUMIF('pow rez'!C3:C19,"W",'pow rez'!T3:T19)</f>
        <v>5686490</v>
      </c>
      <c r="M26" s="70">
        <f>SUMIF('pow rez'!C3:C19,"W",'pow rez'!U3:U19)</f>
        <v>0</v>
      </c>
      <c r="N26" s="70">
        <f>SUMIF('pow rez'!C3:C19,"W",'pow rez'!V3:V19)</f>
        <v>0</v>
      </c>
      <c r="O26" s="98">
        <f>SUMIF('pow rez'!C3:C19,"W",'pow rez'!W3:W19)</f>
        <v>0</v>
      </c>
      <c r="P26" s="19" t="b">
        <f t="shared" si="0"/>
        <v>1</v>
      </c>
      <c r="Q26" s="8"/>
      <c r="R26" s="8"/>
      <c r="S26" s="9"/>
      <c r="T26" s="9"/>
      <c r="U26" s="9"/>
      <c r="V26" s="9"/>
      <c r="W26" s="9"/>
    </row>
    <row r="27" spans="1:23" ht="39.75" customHeight="1" thickTop="1">
      <c r="A27" s="91" t="s">
        <v>3</v>
      </c>
      <c r="B27" s="78">
        <f>COUNTA('gm rez'!L3:L103)</f>
        <v>101</v>
      </c>
      <c r="C27" s="43">
        <f>SUM('gm rez'!K3:K103)</f>
        <v>102958480.77999999</v>
      </c>
      <c r="D27" s="44">
        <f>SUM('gm rez'!M3:M103)</f>
        <v>41418983.780000016</v>
      </c>
      <c r="E27" s="45">
        <f>SUM('gm rez'!L3:L103)</f>
        <v>61539497</v>
      </c>
      <c r="F27" s="46">
        <f>SUM('gm rez'!O3:O103)</f>
        <v>0</v>
      </c>
      <c r="G27" s="43">
        <f>SUM('gm rez'!P3:P103)</f>
        <v>0</v>
      </c>
      <c r="H27" s="43">
        <f>SUM('gm rez'!Q3:Q103)</f>
        <v>0</v>
      </c>
      <c r="I27" s="43">
        <f>SUM('gm rez'!R3:R103)</f>
        <v>55045034</v>
      </c>
      <c r="J27" s="43">
        <f>SUM('gm rez'!S3:S103)</f>
        <v>3683551</v>
      </c>
      <c r="K27" s="43">
        <f>SUM('gm rez'!T3:T103)</f>
        <v>2324496</v>
      </c>
      <c r="L27" s="43">
        <f>SUM('gm rez'!U3:U103)</f>
        <v>486416</v>
      </c>
      <c r="M27" s="43">
        <f>SUM('gm rez'!V3:V103)</f>
        <v>0</v>
      </c>
      <c r="N27" s="43">
        <f>SUM('gm rez'!W3:W103)</f>
        <v>0</v>
      </c>
      <c r="O27" s="92">
        <f>SUM('gm rez'!X3:X103)</f>
        <v>0</v>
      </c>
      <c r="P27" s="324" t="b">
        <f t="shared" si="0"/>
        <v>1</v>
      </c>
      <c r="Q27" s="14"/>
      <c r="R27" s="14"/>
      <c r="S27" s="15"/>
      <c r="T27" s="15"/>
      <c r="U27" s="10"/>
      <c r="V27" s="4"/>
      <c r="W27" s="4"/>
    </row>
    <row r="28" spans="1:23" ht="39.75" customHeight="1">
      <c r="A28" s="95" t="s">
        <v>37</v>
      </c>
      <c r="B28" s="80">
        <f>COUNTIF('gm rez'!C3:C103,"N")</f>
        <v>90</v>
      </c>
      <c r="C28" s="68">
        <f>SUMIF('gm rez'!C3:C103,"N",'gm rez'!K3:K103)</f>
        <v>86361354.73000002</v>
      </c>
      <c r="D28" s="69">
        <f>SUMIF('gm rez'!C3:C103,"N",'gm rez'!M3:M103)</f>
        <v>34264300.73000001</v>
      </c>
      <c r="E28" s="21">
        <f>SUMIF('gm rez'!C3:C103,"N",'gm rez'!L3:L103)</f>
        <v>52097054</v>
      </c>
      <c r="F28" s="73">
        <f>SUMIF('gm rez'!C3:C103,"N",'gm rez'!O3:O103)</f>
        <v>0</v>
      </c>
      <c r="G28" s="68">
        <f>SUMIF('gm rez'!C3:C103,"N",'gm rez'!P3:P103)</f>
        <v>0</v>
      </c>
      <c r="H28" s="68">
        <f>SUMIF('gm rez'!C3:C103,"N",'gm rez'!Q3:Q103)</f>
        <v>0</v>
      </c>
      <c r="I28" s="68">
        <f>SUMIF('gm rez'!C3:C103,"N",'gm rez'!R3:R103)</f>
        <v>52097054</v>
      </c>
      <c r="J28" s="68">
        <f>SUMIF('gm rez'!C3:C103,"N",'gm rez'!S3:S103)</f>
        <v>0</v>
      </c>
      <c r="K28" s="68">
        <f>SUMIF('gm rez'!C3:C103,"N",'gm rez'!T3:T103)</f>
        <v>0</v>
      </c>
      <c r="L28" s="68">
        <f>SUMIF('gm rez'!C3:C103,"N",'gm rez'!U3:U103)</f>
        <v>0</v>
      </c>
      <c r="M28" s="68">
        <f>SUMIF('gm rez'!C3:C103,"N",'gm rez'!V3:V103)</f>
        <v>0</v>
      </c>
      <c r="N28" s="68">
        <f>SUMIF('gm rez'!C3:C103,"N",'gm rez'!W3:W103)</f>
        <v>0</v>
      </c>
      <c r="O28" s="96">
        <f>SUMIF('gm rez'!C3:C103,"N",'gm rez'!X3:X103)</f>
        <v>0</v>
      </c>
      <c r="P28" s="324" t="b">
        <f t="shared" si="0"/>
        <v>1</v>
      </c>
      <c r="Q28" s="14"/>
      <c r="R28" s="14"/>
      <c r="S28" s="15"/>
      <c r="T28" s="15"/>
      <c r="U28" s="10"/>
      <c r="V28" s="4"/>
      <c r="W28" s="4"/>
    </row>
    <row r="29" spans="1:23" ht="39.75" customHeight="1" thickBot="1">
      <c r="A29" s="97" t="s">
        <v>38</v>
      </c>
      <c r="B29" s="81">
        <f>COUNTIF('gm rez'!C3:C103,"W")</f>
        <v>11</v>
      </c>
      <c r="C29" s="70">
        <f>SUMIF('gm rez'!C3:C103,"W",'gm rez'!K3:K103)</f>
        <v>16597126.05</v>
      </c>
      <c r="D29" s="71">
        <f>SUMIF('gm rez'!C3:C103,"W",'gm rez'!M3:M103)</f>
        <v>7154683.050000002</v>
      </c>
      <c r="E29" s="47">
        <f>SUMIF('gm rez'!C3:C103,"W",'gm rez'!L3:L103)</f>
        <v>9442443</v>
      </c>
      <c r="F29" s="74">
        <f>SUMIF('gm rez'!C3:C103,"W",'gm rez'!O3:O103)</f>
        <v>0</v>
      </c>
      <c r="G29" s="70">
        <f>SUMIF('gm rez'!C3:C103,"W",'gm rez'!P3:P103)</f>
        <v>0</v>
      </c>
      <c r="H29" s="70">
        <f>SUMIF('gm rez'!C3:C103,"W",'gm rez'!Q3:Q103)</f>
        <v>0</v>
      </c>
      <c r="I29" s="70">
        <f>SUMIF('gm rez'!C3:C103,"W",'gm rez'!R3:R103)</f>
        <v>2947980</v>
      </c>
      <c r="J29" s="70">
        <f>SUMIF('gm rez'!C3:C103,"W",'gm rez'!S3:S103)</f>
        <v>3683551</v>
      </c>
      <c r="K29" s="70">
        <f>SUMIF('gm rez'!C3:C103,"W",'gm rez'!T3:T103)</f>
        <v>2324496</v>
      </c>
      <c r="L29" s="70">
        <f>SUMIF('gm rez'!C3:C103,"W",'gm rez'!U3:U103)</f>
        <v>486416</v>
      </c>
      <c r="M29" s="70">
        <f>SUMIF('gm rez'!C3:C103,"W",'gm rez'!V3:V103)</f>
        <v>0</v>
      </c>
      <c r="N29" s="70">
        <f>SUMIF('gm rez'!C3:C103,"W",'gm rez'!W3:W103)</f>
        <v>0</v>
      </c>
      <c r="O29" s="98">
        <f>SUMIF('gm rez'!C3:C103,"W",'gm rez'!X3:X103)</f>
        <v>0</v>
      </c>
      <c r="P29" s="324" t="b">
        <f t="shared" si="0"/>
        <v>1</v>
      </c>
      <c r="Q29" s="14"/>
      <c r="R29" s="14"/>
      <c r="S29" s="15"/>
      <c r="T29" s="15"/>
      <c r="U29" s="10"/>
      <c r="V29" s="4"/>
      <c r="W29" s="4"/>
    </row>
    <row r="30" spans="1:20" ht="39.75" customHeight="1" thickTop="1">
      <c r="A30" s="51" t="s">
        <v>45</v>
      </c>
      <c r="B30" s="85">
        <f>B24+B27</f>
        <v>118</v>
      </c>
      <c r="C30" s="52">
        <f aca="true" t="shared" si="3" ref="C30:O30">C24+C27</f>
        <v>266233925.44</v>
      </c>
      <c r="D30" s="53">
        <f t="shared" si="3"/>
        <v>122411740.44000001</v>
      </c>
      <c r="E30" s="42">
        <f t="shared" si="3"/>
        <v>143822185</v>
      </c>
      <c r="F30" s="54">
        <f t="shared" si="3"/>
        <v>0</v>
      </c>
      <c r="G30" s="52">
        <f t="shared" si="3"/>
        <v>0</v>
      </c>
      <c r="H30" s="52">
        <f t="shared" si="3"/>
        <v>0</v>
      </c>
      <c r="I30" s="52">
        <f t="shared" si="3"/>
        <v>86510498</v>
      </c>
      <c r="J30" s="52">
        <f t="shared" si="3"/>
        <v>33361729</v>
      </c>
      <c r="K30" s="52">
        <f t="shared" si="3"/>
        <v>17777052</v>
      </c>
      <c r="L30" s="52">
        <f t="shared" si="3"/>
        <v>6172906</v>
      </c>
      <c r="M30" s="52">
        <f t="shared" si="3"/>
        <v>0</v>
      </c>
      <c r="N30" s="52">
        <f t="shared" si="3"/>
        <v>0</v>
      </c>
      <c r="O30" s="55">
        <f t="shared" si="3"/>
        <v>0</v>
      </c>
      <c r="P30" s="324" t="b">
        <f t="shared" si="0"/>
        <v>1</v>
      </c>
      <c r="Q30" s="16"/>
      <c r="R30" s="16"/>
      <c r="S30" s="2"/>
      <c r="T30" s="2"/>
    </row>
    <row r="31" spans="1:20" ht="39.75" customHeight="1">
      <c r="A31" s="29" t="s">
        <v>37</v>
      </c>
      <c r="B31" s="86">
        <f aca="true" t="shared" si="4" ref="B31:O31">B25+B28</f>
        <v>93</v>
      </c>
      <c r="C31" s="25">
        <f t="shared" si="4"/>
        <v>95154389.54000002</v>
      </c>
      <c r="D31" s="32">
        <f t="shared" si="4"/>
        <v>38660819.540000014</v>
      </c>
      <c r="E31" s="21">
        <f t="shared" si="4"/>
        <v>56493570</v>
      </c>
      <c r="F31" s="36">
        <f t="shared" si="4"/>
        <v>0</v>
      </c>
      <c r="G31" s="25">
        <f t="shared" si="4"/>
        <v>0</v>
      </c>
      <c r="H31" s="25">
        <f t="shared" si="4"/>
        <v>0</v>
      </c>
      <c r="I31" s="25">
        <f t="shared" si="4"/>
        <v>56493570</v>
      </c>
      <c r="J31" s="25">
        <f t="shared" si="4"/>
        <v>0</v>
      </c>
      <c r="K31" s="25">
        <f t="shared" si="4"/>
        <v>0</v>
      </c>
      <c r="L31" s="25">
        <f t="shared" si="4"/>
        <v>0</v>
      </c>
      <c r="M31" s="25">
        <f t="shared" si="4"/>
        <v>0</v>
      </c>
      <c r="N31" s="25">
        <f t="shared" si="4"/>
        <v>0</v>
      </c>
      <c r="O31" s="28">
        <f t="shared" si="4"/>
        <v>0</v>
      </c>
      <c r="P31" s="324" t="b">
        <f t="shared" si="0"/>
        <v>1</v>
      </c>
      <c r="Q31" s="16"/>
      <c r="R31" s="16"/>
      <c r="S31" s="2"/>
      <c r="T31" s="2"/>
    </row>
    <row r="32" spans="1:20" ht="39.75" customHeight="1" thickBot="1">
      <c r="A32" s="56" t="s">
        <v>38</v>
      </c>
      <c r="B32" s="87">
        <f aca="true" t="shared" si="5" ref="B32:O32">B26+B29</f>
        <v>25</v>
      </c>
      <c r="C32" s="57">
        <f t="shared" si="5"/>
        <v>171079535.9</v>
      </c>
      <c r="D32" s="58">
        <f t="shared" si="5"/>
        <v>83750920.89999999</v>
      </c>
      <c r="E32" s="59">
        <f t="shared" si="5"/>
        <v>87328615</v>
      </c>
      <c r="F32" s="60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30016928</v>
      </c>
      <c r="J32" s="57">
        <f t="shared" si="5"/>
        <v>33361729</v>
      </c>
      <c r="K32" s="57">
        <f t="shared" si="5"/>
        <v>17777052</v>
      </c>
      <c r="L32" s="57">
        <f t="shared" si="5"/>
        <v>6172906</v>
      </c>
      <c r="M32" s="57">
        <f t="shared" si="5"/>
        <v>0</v>
      </c>
      <c r="N32" s="57">
        <f t="shared" si="5"/>
        <v>0</v>
      </c>
      <c r="O32" s="61">
        <f t="shared" si="5"/>
        <v>0</v>
      </c>
      <c r="P32" s="324" t="b">
        <f t="shared" si="0"/>
        <v>1</v>
      </c>
      <c r="Q32" s="16"/>
      <c r="R32" s="16"/>
      <c r="S32" s="2"/>
      <c r="T32" s="2"/>
    </row>
    <row r="33" spans="1:20" ht="39.75" customHeight="1" thickTop="1">
      <c r="A33" s="105" t="s">
        <v>46</v>
      </c>
      <c r="B33" s="88">
        <f>B20+B30</f>
        <v>298</v>
      </c>
      <c r="C33" s="62">
        <f aca="true" t="shared" si="6" ref="C33:O33">C20+C30</f>
        <v>1058116100.2099998</v>
      </c>
      <c r="D33" s="63">
        <f t="shared" si="6"/>
        <v>461083625.2699998</v>
      </c>
      <c r="E33" s="64">
        <f t="shared" si="6"/>
        <v>597032474.94</v>
      </c>
      <c r="F33" s="65">
        <f t="shared" si="6"/>
        <v>108718</v>
      </c>
      <c r="G33" s="62">
        <f t="shared" si="6"/>
        <v>7405711</v>
      </c>
      <c r="H33" s="62">
        <f t="shared" si="6"/>
        <v>87615825</v>
      </c>
      <c r="I33" s="62">
        <f t="shared" si="6"/>
        <v>289207548.15999997</v>
      </c>
      <c r="J33" s="62">
        <f t="shared" si="6"/>
        <v>106701976.78</v>
      </c>
      <c r="K33" s="62">
        <f t="shared" si="6"/>
        <v>86815987</v>
      </c>
      <c r="L33" s="62">
        <f t="shared" si="6"/>
        <v>19176709</v>
      </c>
      <c r="M33" s="62">
        <f t="shared" si="6"/>
        <v>0</v>
      </c>
      <c r="N33" s="62">
        <f t="shared" si="6"/>
        <v>0</v>
      </c>
      <c r="O33" s="106">
        <f t="shared" si="6"/>
        <v>0</v>
      </c>
      <c r="P33" s="324" t="b">
        <f t="shared" si="0"/>
        <v>1</v>
      </c>
      <c r="Q33" s="16"/>
      <c r="R33" s="16"/>
      <c r="S33" s="2"/>
      <c r="T33" s="2"/>
    </row>
    <row r="34" spans="1:20" ht="39.75" customHeight="1">
      <c r="A34" s="116" t="s">
        <v>36</v>
      </c>
      <c r="B34" s="117">
        <f>B21</f>
        <v>67</v>
      </c>
      <c r="C34" s="118">
        <f aca="true" t="shared" si="7" ref="C34:O34">C21</f>
        <v>382213588.13</v>
      </c>
      <c r="D34" s="119">
        <f t="shared" si="7"/>
        <v>158707015.12999994</v>
      </c>
      <c r="E34" s="120">
        <f t="shared" si="7"/>
        <v>223506573</v>
      </c>
      <c r="F34" s="121">
        <f t="shared" si="7"/>
        <v>108718</v>
      </c>
      <c r="G34" s="118">
        <f t="shared" si="7"/>
        <v>7405711</v>
      </c>
      <c r="H34" s="118">
        <f t="shared" si="7"/>
        <v>87615825</v>
      </c>
      <c r="I34" s="118">
        <f t="shared" si="7"/>
        <v>70851775</v>
      </c>
      <c r="J34" s="118">
        <f t="shared" si="7"/>
        <v>43612071</v>
      </c>
      <c r="K34" s="118">
        <f t="shared" si="7"/>
        <v>13912473</v>
      </c>
      <c r="L34" s="118">
        <f t="shared" si="7"/>
        <v>0</v>
      </c>
      <c r="M34" s="118">
        <f t="shared" si="7"/>
        <v>0</v>
      </c>
      <c r="N34" s="118">
        <f t="shared" si="7"/>
        <v>0</v>
      </c>
      <c r="O34" s="122">
        <f t="shared" si="7"/>
        <v>0</v>
      </c>
      <c r="P34" s="324" t="b">
        <f t="shared" si="0"/>
        <v>1</v>
      </c>
      <c r="Q34" s="16"/>
      <c r="R34" s="16"/>
      <c r="S34" s="2"/>
      <c r="T34" s="2"/>
    </row>
    <row r="35" spans="1:20" ht="39.75" customHeight="1">
      <c r="A35" s="107" t="s">
        <v>37</v>
      </c>
      <c r="B35" s="89">
        <f>B22+B31</f>
        <v>170</v>
      </c>
      <c r="C35" s="26">
        <f aca="true" t="shared" si="8" ref="C35:O36">C22+C31</f>
        <v>233791663.64000008</v>
      </c>
      <c r="D35" s="33">
        <f t="shared" si="8"/>
        <v>93901362.48000002</v>
      </c>
      <c r="E35" s="38">
        <f t="shared" si="8"/>
        <v>139890301.16</v>
      </c>
      <c r="F35" s="37">
        <f t="shared" si="8"/>
        <v>0</v>
      </c>
      <c r="G35" s="26">
        <f t="shared" si="8"/>
        <v>0</v>
      </c>
      <c r="H35" s="26">
        <f t="shared" si="8"/>
        <v>0</v>
      </c>
      <c r="I35" s="26">
        <f t="shared" si="8"/>
        <v>139890301.16</v>
      </c>
      <c r="J35" s="26">
        <f t="shared" si="8"/>
        <v>0</v>
      </c>
      <c r="K35" s="26">
        <f t="shared" si="8"/>
        <v>0</v>
      </c>
      <c r="L35" s="26">
        <f t="shared" si="8"/>
        <v>0</v>
      </c>
      <c r="M35" s="26">
        <f t="shared" si="8"/>
        <v>0</v>
      </c>
      <c r="N35" s="26">
        <f t="shared" si="8"/>
        <v>0</v>
      </c>
      <c r="O35" s="108">
        <f t="shared" si="8"/>
        <v>0</v>
      </c>
      <c r="P35" s="19" t="b">
        <f t="shared" si="0"/>
        <v>1</v>
      </c>
      <c r="Q35" s="16"/>
      <c r="R35" s="16"/>
      <c r="S35" s="2"/>
      <c r="T35" s="2"/>
    </row>
    <row r="36" spans="1:20" ht="39.75" customHeight="1" thickBot="1">
      <c r="A36" s="109" t="s">
        <v>38</v>
      </c>
      <c r="B36" s="110">
        <f>B23+B32</f>
        <v>61</v>
      </c>
      <c r="C36" s="111">
        <f t="shared" si="8"/>
        <v>442110848.43999994</v>
      </c>
      <c r="D36" s="112">
        <f t="shared" si="8"/>
        <v>208475247.65999997</v>
      </c>
      <c r="E36" s="113">
        <f t="shared" si="8"/>
        <v>233635600.78</v>
      </c>
      <c r="F36" s="114">
        <f t="shared" si="8"/>
        <v>0</v>
      </c>
      <c r="G36" s="111">
        <f t="shared" si="8"/>
        <v>0</v>
      </c>
      <c r="H36" s="111">
        <f t="shared" si="8"/>
        <v>0</v>
      </c>
      <c r="I36" s="111">
        <f t="shared" si="8"/>
        <v>78465472</v>
      </c>
      <c r="J36" s="111">
        <f t="shared" si="8"/>
        <v>63089905.78</v>
      </c>
      <c r="K36" s="111">
        <f t="shared" si="8"/>
        <v>72903514</v>
      </c>
      <c r="L36" s="111">
        <f t="shared" si="8"/>
        <v>19176709</v>
      </c>
      <c r="M36" s="111">
        <f t="shared" si="8"/>
        <v>0</v>
      </c>
      <c r="N36" s="111">
        <f t="shared" si="8"/>
        <v>0</v>
      </c>
      <c r="O36" s="115">
        <f t="shared" si="8"/>
        <v>0</v>
      </c>
      <c r="P36" s="324" t="b">
        <f t="shared" si="0"/>
        <v>1</v>
      </c>
      <c r="Q36" s="16"/>
      <c r="R36" s="16"/>
      <c r="S36" s="2"/>
      <c r="T36" s="2"/>
    </row>
    <row r="37" spans="1:20" ht="15">
      <c r="A37" s="17"/>
      <c r="B37" s="20"/>
      <c r="C37" s="17"/>
      <c r="D37" s="14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6"/>
      <c r="R37" s="16"/>
      <c r="S37" s="2"/>
      <c r="T37" s="2"/>
    </row>
    <row r="38" spans="1:20" ht="15">
      <c r="A38" s="17"/>
      <c r="B38" s="20" t="b">
        <f>B33=B34+B35+B36</f>
        <v>1</v>
      </c>
      <c r="C38" s="17" t="b">
        <f aca="true" t="shared" si="9" ref="C38:O38">C33=C34+C35+C36</f>
        <v>1</v>
      </c>
      <c r="D38" s="17" t="b">
        <f t="shared" si="9"/>
        <v>1</v>
      </c>
      <c r="E38" s="325" t="b">
        <f t="shared" si="9"/>
        <v>1</v>
      </c>
      <c r="F38" s="77" t="b">
        <f t="shared" si="9"/>
        <v>1</v>
      </c>
      <c r="G38" s="77" t="b">
        <f t="shared" si="9"/>
        <v>1</v>
      </c>
      <c r="H38" s="77" t="b">
        <f t="shared" si="9"/>
        <v>1</v>
      </c>
      <c r="I38" s="77" t="b">
        <f t="shared" si="9"/>
        <v>1</v>
      </c>
      <c r="J38" s="17" t="b">
        <f t="shared" si="9"/>
        <v>1</v>
      </c>
      <c r="K38" s="325" t="b">
        <f t="shared" si="9"/>
        <v>1</v>
      </c>
      <c r="L38" s="17" t="b">
        <f t="shared" si="9"/>
        <v>1</v>
      </c>
      <c r="M38" s="17" t="b">
        <f t="shared" si="9"/>
        <v>1</v>
      </c>
      <c r="N38" s="17" t="b">
        <f t="shared" si="9"/>
        <v>1</v>
      </c>
      <c r="O38" s="17" t="b">
        <f t="shared" si="9"/>
        <v>1</v>
      </c>
      <c r="P38" s="17"/>
      <c r="Q38" s="16"/>
      <c r="R38" s="16"/>
      <c r="S38" s="2"/>
      <c r="T38" s="2"/>
    </row>
    <row r="39" spans="1:20" ht="15">
      <c r="A39" s="17"/>
      <c r="B39" s="20" t="b">
        <f>B21=B34</f>
        <v>1</v>
      </c>
      <c r="C39" s="17" t="b">
        <f aca="true" t="shared" si="10" ref="C39:O39">C21=C34</f>
        <v>1</v>
      </c>
      <c r="D39" s="17" t="b">
        <f t="shared" si="10"/>
        <v>1</v>
      </c>
      <c r="E39" s="17" t="b">
        <f t="shared" si="10"/>
        <v>1</v>
      </c>
      <c r="F39" s="17" t="b">
        <f t="shared" si="10"/>
        <v>1</v>
      </c>
      <c r="G39" s="17" t="b">
        <f t="shared" si="10"/>
        <v>1</v>
      </c>
      <c r="H39" s="17" t="b">
        <f t="shared" si="10"/>
        <v>1</v>
      </c>
      <c r="I39" s="17" t="b">
        <f t="shared" si="10"/>
        <v>1</v>
      </c>
      <c r="J39" s="17" t="b">
        <f t="shared" si="10"/>
        <v>1</v>
      </c>
      <c r="K39" s="325" t="b">
        <f t="shared" si="10"/>
        <v>1</v>
      </c>
      <c r="L39" s="17" t="b">
        <f t="shared" si="10"/>
        <v>1</v>
      </c>
      <c r="M39" s="17" t="b">
        <f t="shared" si="10"/>
        <v>1</v>
      </c>
      <c r="N39" s="17" t="b">
        <f t="shared" si="10"/>
        <v>1</v>
      </c>
      <c r="O39" s="17" t="b">
        <f t="shared" si="10"/>
        <v>1</v>
      </c>
      <c r="P39" s="17"/>
      <c r="Q39" s="16"/>
      <c r="R39" s="16"/>
      <c r="S39" s="2"/>
      <c r="T39" s="2"/>
    </row>
    <row r="40" spans="1:20" ht="15">
      <c r="A40" s="17"/>
      <c r="B40" s="20" t="b">
        <f>B14+B18+B25+B28=B35</f>
        <v>1</v>
      </c>
      <c r="C40" s="17" t="b">
        <f aca="true" t="shared" si="11" ref="C40:O41">C14+C18+C25+C28=C35</f>
        <v>1</v>
      </c>
      <c r="D40" s="17" t="b">
        <f t="shared" si="11"/>
        <v>1</v>
      </c>
      <c r="E40" s="325" t="b">
        <f t="shared" si="11"/>
        <v>1</v>
      </c>
      <c r="F40" s="341" t="b">
        <f t="shared" si="11"/>
        <v>1</v>
      </c>
      <c r="G40" s="341" t="b">
        <f t="shared" si="11"/>
        <v>1</v>
      </c>
      <c r="H40" s="341" t="b">
        <f t="shared" si="11"/>
        <v>1</v>
      </c>
      <c r="I40" s="341" t="b">
        <f t="shared" si="11"/>
        <v>1</v>
      </c>
      <c r="J40" s="325" t="b">
        <f t="shared" si="11"/>
        <v>1</v>
      </c>
      <c r="K40" s="325" t="b">
        <f t="shared" si="11"/>
        <v>1</v>
      </c>
      <c r="L40" s="17" t="b">
        <f t="shared" si="11"/>
        <v>1</v>
      </c>
      <c r="M40" s="17" t="b">
        <f t="shared" si="11"/>
        <v>1</v>
      </c>
      <c r="N40" s="17" t="b">
        <f t="shared" si="11"/>
        <v>1</v>
      </c>
      <c r="O40" s="17" t="b">
        <f t="shared" si="11"/>
        <v>1</v>
      </c>
      <c r="P40" s="17"/>
      <c r="Q40" s="16"/>
      <c r="R40" s="16"/>
      <c r="S40" s="2"/>
      <c r="T40" s="2"/>
    </row>
    <row r="41" spans="1:20" ht="15">
      <c r="A41" s="18"/>
      <c r="B41" s="90" t="b">
        <f>B15+B19+B26+B29=B36</f>
        <v>1</v>
      </c>
      <c r="C41" s="18" t="b">
        <f t="shared" si="11"/>
        <v>1</v>
      </c>
      <c r="D41" s="18" t="b">
        <f t="shared" si="11"/>
        <v>1</v>
      </c>
      <c r="E41" s="325" t="b">
        <f t="shared" si="11"/>
        <v>1</v>
      </c>
      <c r="F41" s="325" t="b">
        <f t="shared" si="11"/>
        <v>1</v>
      </c>
      <c r="G41" s="325" t="b">
        <f t="shared" si="11"/>
        <v>1</v>
      </c>
      <c r="H41" s="325" t="b">
        <f t="shared" si="11"/>
        <v>1</v>
      </c>
      <c r="I41" s="325" t="b">
        <f t="shared" si="11"/>
        <v>1</v>
      </c>
      <c r="J41" s="325" t="b">
        <f t="shared" si="11"/>
        <v>1</v>
      </c>
      <c r="K41" s="325" t="b">
        <f t="shared" si="11"/>
        <v>1</v>
      </c>
      <c r="L41" s="18" t="b">
        <f t="shared" si="11"/>
        <v>1</v>
      </c>
      <c r="M41" s="18" t="b">
        <f t="shared" si="11"/>
        <v>1</v>
      </c>
      <c r="N41" s="18" t="b">
        <f t="shared" si="11"/>
        <v>1</v>
      </c>
      <c r="O41" s="18" t="b">
        <f t="shared" si="11"/>
        <v>1</v>
      </c>
      <c r="P41" s="18"/>
      <c r="Q41" s="2"/>
      <c r="R41" s="2"/>
      <c r="S41" s="2"/>
      <c r="T41" s="2"/>
    </row>
    <row r="42" spans="1:20" ht="15">
      <c r="A42" s="18"/>
      <c r="B42" s="90" t="b">
        <f>B12=B13+B14+B15</f>
        <v>1</v>
      </c>
      <c r="C42" s="18" t="b">
        <f aca="true" t="shared" si="12" ref="C42:O42">C12=C13+C14+C15</f>
        <v>1</v>
      </c>
      <c r="D42" s="18" t="b">
        <f t="shared" si="12"/>
        <v>1</v>
      </c>
      <c r="E42" s="325" t="b">
        <f t="shared" si="12"/>
        <v>1</v>
      </c>
      <c r="F42" s="325" t="b">
        <f t="shared" si="12"/>
        <v>1</v>
      </c>
      <c r="G42" s="325" t="b">
        <f t="shared" si="12"/>
        <v>1</v>
      </c>
      <c r="H42" s="325" t="b">
        <f t="shared" si="12"/>
        <v>1</v>
      </c>
      <c r="I42" s="325" t="b">
        <f t="shared" si="12"/>
        <v>1</v>
      </c>
      <c r="J42" s="325" t="b">
        <f t="shared" si="12"/>
        <v>1</v>
      </c>
      <c r="K42" s="325" t="b">
        <f t="shared" si="12"/>
        <v>1</v>
      </c>
      <c r="L42" s="18" t="b">
        <f t="shared" si="12"/>
        <v>1</v>
      </c>
      <c r="M42" s="18" t="b">
        <f t="shared" si="12"/>
        <v>1</v>
      </c>
      <c r="N42" s="18" t="b">
        <f t="shared" si="12"/>
        <v>1</v>
      </c>
      <c r="O42" s="18" t="b">
        <f t="shared" si="12"/>
        <v>1</v>
      </c>
      <c r="P42" s="18"/>
      <c r="Q42" s="2"/>
      <c r="R42" s="2"/>
      <c r="S42" s="2"/>
      <c r="T42" s="2"/>
    </row>
    <row r="43" spans="1:20" ht="15">
      <c r="A43" s="18"/>
      <c r="B43" s="90" t="b">
        <f>B16=B17+B18+B19</f>
        <v>1</v>
      </c>
      <c r="C43" s="18" t="b">
        <f aca="true" t="shared" si="13" ref="C43:O43">C16=C17+C18+C19</f>
        <v>1</v>
      </c>
      <c r="D43" s="18" t="b">
        <f t="shared" si="13"/>
        <v>1</v>
      </c>
      <c r="E43" s="325" t="b">
        <f t="shared" si="13"/>
        <v>1</v>
      </c>
      <c r="F43" s="325" t="b">
        <f t="shared" si="13"/>
        <v>1</v>
      </c>
      <c r="G43" s="325" t="b">
        <f t="shared" si="13"/>
        <v>1</v>
      </c>
      <c r="H43" s="325" t="b">
        <f t="shared" si="13"/>
        <v>1</v>
      </c>
      <c r="I43" s="325" t="b">
        <f t="shared" si="13"/>
        <v>1</v>
      </c>
      <c r="J43" s="325" t="b">
        <f t="shared" si="13"/>
        <v>1</v>
      </c>
      <c r="K43" s="18" t="b">
        <f t="shared" si="13"/>
        <v>1</v>
      </c>
      <c r="L43" s="18" t="b">
        <f t="shared" si="13"/>
        <v>1</v>
      </c>
      <c r="M43" s="18" t="b">
        <f t="shared" si="13"/>
        <v>1</v>
      </c>
      <c r="N43" s="18" t="b">
        <f t="shared" si="13"/>
        <v>1</v>
      </c>
      <c r="O43" s="18" t="b">
        <f t="shared" si="13"/>
        <v>1</v>
      </c>
      <c r="P43" s="18"/>
      <c r="Q43" s="2"/>
      <c r="R43" s="2"/>
      <c r="S43" s="2"/>
      <c r="T43" s="2"/>
    </row>
    <row r="44" spans="2:15" ht="15">
      <c r="B44" s="1" t="b">
        <f>B20=B21+B22+B23</f>
        <v>1</v>
      </c>
      <c r="C44" s="5" t="b">
        <f aca="true" t="shared" si="14" ref="C44:O44">C20=C21+C22+C23</f>
        <v>1</v>
      </c>
      <c r="D44" s="5" t="b">
        <f t="shared" si="14"/>
        <v>1</v>
      </c>
      <c r="E44" s="152" t="b">
        <f t="shared" si="14"/>
        <v>1</v>
      </c>
      <c r="F44" s="152" t="b">
        <f t="shared" si="14"/>
        <v>1</v>
      </c>
      <c r="G44" s="152" t="b">
        <f t="shared" si="14"/>
        <v>1</v>
      </c>
      <c r="H44" s="152" t="b">
        <f t="shared" si="14"/>
        <v>1</v>
      </c>
      <c r="I44" s="262" t="b">
        <f t="shared" si="14"/>
        <v>1</v>
      </c>
      <c r="J44" s="262" t="b">
        <f t="shared" si="14"/>
        <v>1</v>
      </c>
      <c r="K44" s="152" t="b">
        <f t="shared" si="14"/>
        <v>1</v>
      </c>
      <c r="L44" s="5" t="b">
        <f t="shared" si="14"/>
        <v>1</v>
      </c>
      <c r="M44" s="5" t="b">
        <f t="shared" si="14"/>
        <v>1</v>
      </c>
      <c r="N44" s="5" t="b">
        <f t="shared" si="14"/>
        <v>1</v>
      </c>
      <c r="O44" s="5" t="b">
        <f t="shared" si="14"/>
        <v>1</v>
      </c>
    </row>
    <row r="45" spans="2:15" ht="15">
      <c r="B45" s="1" t="b">
        <f>B24=B25+B26</f>
        <v>1</v>
      </c>
      <c r="C45" s="5" t="b">
        <f aca="true" t="shared" si="15" ref="C45:O45">C24=C25+C26</f>
        <v>1</v>
      </c>
      <c r="D45" s="5" t="b">
        <f t="shared" si="15"/>
        <v>1</v>
      </c>
      <c r="E45" s="152" t="b">
        <f t="shared" si="15"/>
        <v>1</v>
      </c>
      <c r="F45" s="152" t="b">
        <f t="shared" si="15"/>
        <v>1</v>
      </c>
      <c r="G45" s="152" t="b">
        <f t="shared" si="15"/>
        <v>1</v>
      </c>
      <c r="H45" s="152" t="b">
        <f t="shared" si="15"/>
        <v>1</v>
      </c>
      <c r="I45" s="152" t="b">
        <f t="shared" si="15"/>
        <v>1</v>
      </c>
      <c r="J45" s="152" t="b">
        <f t="shared" si="15"/>
        <v>1</v>
      </c>
      <c r="K45" s="5" t="b">
        <f t="shared" si="15"/>
        <v>1</v>
      </c>
      <c r="L45" s="5" t="b">
        <f t="shared" si="15"/>
        <v>1</v>
      </c>
      <c r="M45" s="5" t="b">
        <f t="shared" si="15"/>
        <v>1</v>
      </c>
      <c r="N45" s="5" t="b">
        <f t="shared" si="15"/>
        <v>1</v>
      </c>
      <c r="O45" s="5" t="b">
        <f t="shared" si="15"/>
        <v>1</v>
      </c>
    </row>
    <row r="46" spans="2:15" ht="15">
      <c r="B46" s="1" t="b">
        <f>B27=B28+B29</f>
        <v>1</v>
      </c>
      <c r="C46" s="152" t="b">
        <f aca="true" t="shared" si="16" ref="C46:O46">C27=C28+C29</f>
        <v>1</v>
      </c>
      <c r="D46" s="152" t="b">
        <f t="shared" si="16"/>
        <v>1</v>
      </c>
      <c r="E46" s="152" t="b">
        <f t="shared" si="16"/>
        <v>1</v>
      </c>
      <c r="F46" s="152" t="b">
        <f t="shared" si="16"/>
        <v>1</v>
      </c>
      <c r="G46" s="152" t="b">
        <f t="shared" si="16"/>
        <v>1</v>
      </c>
      <c r="H46" s="152" t="b">
        <f t="shared" si="16"/>
        <v>1</v>
      </c>
      <c r="I46" s="152" t="b">
        <f t="shared" si="16"/>
        <v>1</v>
      </c>
      <c r="J46" s="152" t="b">
        <f t="shared" si="16"/>
        <v>1</v>
      </c>
      <c r="K46" s="152" t="b">
        <f t="shared" si="16"/>
        <v>1</v>
      </c>
      <c r="L46" s="5" t="b">
        <f t="shared" si="16"/>
        <v>1</v>
      </c>
      <c r="M46" s="5" t="b">
        <f t="shared" si="16"/>
        <v>1</v>
      </c>
      <c r="N46" s="5" t="b">
        <f t="shared" si="16"/>
        <v>1</v>
      </c>
      <c r="O46" s="5" t="b">
        <f t="shared" si="16"/>
        <v>1</v>
      </c>
    </row>
    <row r="47" spans="2:15" ht="15">
      <c r="B47" s="1" t="b">
        <f>B30=+B31+B32</f>
        <v>1</v>
      </c>
      <c r="C47" s="152" t="b">
        <f aca="true" t="shared" si="17" ref="C47:O47">C30=+C31+C32</f>
        <v>1</v>
      </c>
      <c r="D47" s="152" t="b">
        <f t="shared" si="17"/>
        <v>1</v>
      </c>
      <c r="E47" s="152" t="b">
        <f t="shared" si="17"/>
        <v>1</v>
      </c>
      <c r="F47" s="5" t="b">
        <f t="shared" si="17"/>
        <v>1</v>
      </c>
      <c r="G47" s="5" t="b">
        <f t="shared" si="17"/>
        <v>1</v>
      </c>
      <c r="H47" s="5" t="b">
        <f t="shared" si="17"/>
        <v>1</v>
      </c>
      <c r="I47" s="152" t="b">
        <f t="shared" si="17"/>
        <v>1</v>
      </c>
      <c r="J47" s="152" t="b">
        <f t="shared" si="17"/>
        <v>1</v>
      </c>
      <c r="K47" s="152" t="b">
        <f t="shared" si="17"/>
        <v>1</v>
      </c>
      <c r="L47" s="5" t="b">
        <f t="shared" si="17"/>
        <v>1</v>
      </c>
      <c r="M47" s="5" t="b">
        <f t="shared" si="17"/>
        <v>1</v>
      </c>
      <c r="N47" s="5" t="b">
        <f t="shared" si="17"/>
        <v>1</v>
      </c>
      <c r="O47" s="5" t="b">
        <f t="shared" si="17"/>
        <v>1</v>
      </c>
    </row>
    <row r="48" ht="15">
      <c r="D48" s="167"/>
    </row>
    <row r="49" ht="15">
      <c r="C49" s="167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5" r:id="rId1"/>
  <headerFooter>
    <oddHeader>&amp;LWojewództwo małopolskie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view="pageBreakPreview" zoomScale="85" zoomScaleNormal="85" zoomScaleSheetLayoutView="85" workbookViewId="0" topLeftCell="A1">
      <selection activeCell="A1" sqref="A1:A2"/>
    </sheetView>
  </sheetViews>
  <sheetFormatPr defaultColWidth="9.140625" defaultRowHeight="15"/>
  <cols>
    <col min="1" max="1" width="5.00390625" style="129" customWidth="1"/>
    <col min="2" max="2" width="10.00390625" style="139" customWidth="1"/>
    <col min="3" max="3" width="18.421875" style="131" customWidth="1"/>
    <col min="4" max="4" width="14.57421875" style="144" customWidth="1"/>
    <col min="5" max="5" width="8.7109375" style="141" customWidth="1"/>
    <col min="6" max="6" width="43.421875" style="141" customWidth="1"/>
    <col min="7" max="7" width="7.7109375" style="149" customWidth="1"/>
    <col min="8" max="8" width="9.7109375" style="310" customWidth="1"/>
    <col min="9" max="9" width="12.7109375" style="141" customWidth="1"/>
    <col min="10" max="10" width="19.00390625" style="208" customWidth="1"/>
    <col min="11" max="11" width="18.00390625" style="209" customWidth="1"/>
    <col min="12" max="12" width="19.421875" style="210" customWidth="1"/>
    <col min="13" max="13" width="9.140625" style="168" customWidth="1"/>
    <col min="14" max="14" width="14.8515625" style="141" customWidth="1"/>
    <col min="15" max="15" width="16.57421875" style="141" customWidth="1"/>
    <col min="16" max="16" width="17.28125" style="141" customWidth="1"/>
    <col min="17" max="17" width="18.28125" style="141" customWidth="1"/>
    <col min="18" max="18" width="16.7109375" style="141" customWidth="1"/>
    <col min="19" max="19" width="15.7109375" style="141" customWidth="1"/>
    <col min="20" max="20" width="19.28125" style="158" customWidth="1"/>
    <col min="21" max="21" width="7.57421875" style="141" customWidth="1"/>
    <col min="22" max="22" width="7.8515625" style="141" customWidth="1"/>
    <col min="23" max="23" width="6.421875" style="141" customWidth="1"/>
    <col min="24" max="24" width="10.140625" style="363" customWidth="1"/>
    <col min="25" max="25" width="10.140625" style="362" customWidth="1"/>
    <col min="26" max="26" width="11.57421875" style="362" customWidth="1"/>
    <col min="27" max="27" width="9.421875" style="363" customWidth="1"/>
    <col min="28" max="16384" width="9.140625" style="124" customWidth="1"/>
  </cols>
  <sheetData>
    <row r="1" spans="1:27" s="163" customFormat="1" ht="19.5" customHeight="1">
      <c r="A1" s="412" t="s">
        <v>4</v>
      </c>
      <c r="B1" s="413" t="s">
        <v>5</v>
      </c>
      <c r="C1" s="414" t="s">
        <v>42</v>
      </c>
      <c r="D1" s="406" t="s">
        <v>6</v>
      </c>
      <c r="E1" s="406" t="s">
        <v>32</v>
      </c>
      <c r="F1" s="406" t="s">
        <v>7</v>
      </c>
      <c r="G1" s="412" t="s">
        <v>26</v>
      </c>
      <c r="H1" s="417" t="s">
        <v>8</v>
      </c>
      <c r="I1" s="413" t="s">
        <v>23</v>
      </c>
      <c r="J1" s="413" t="s">
        <v>9</v>
      </c>
      <c r="K1" s="413" t="s">
        <v>16</v>
      </c>
      <c r="L1" s="406" t="s">
        <v>13</v>
      </c>
      <c r="M1" s="416" t="s">
        <v>11</v>
      </c>
      <c r="N1" s="413" t="s">
        <v>12</v>
      </c>
      <c r="O1" s="413"/>
      <c r="P1" s="413"/>
      <c r="Q1" s="413"/>
      <c r="R1" s="413"/>
      <c r="S1" s="413"/>
      <c r="T1" s="413"/>
      <c r="U1" s="413"/>
      <c r="V1" s="413"/>
      <c r="W1" s="413"/>
      <c r="X1" s="164"/>
      <c r="Y1" s="164"/>
      <c r="Z1" s="164"/>
      <c r="AA1" s="355"/>
    </row>
    <row r="2" spans="1:27" s="163" customFormat="1" ht="42" customHeight="1">
      <c r="A2" s="412"/>
      <c r="B2" s="413"/>
      <c r="C2" s="415"/>
      <c r="D2" s="407"/>
      <c r="E2" s="407"/>
      <c r="F2" s="407"/>
      <c r="G2" s="412"/>
      <c r="H2" s="417"/>
      <c r="I2" s="413"/>
      <c r="J2" s="413"/>
      <c r="K2" s="413"/>
      <c r="L2" s="407"/>
      <c r="M2" s="416"/>
      <c r="N2" s="266">
        <v>2019</v>
      </c>
      <c r="O2" s="266">
        <v>2020</v>
      </c>
      <c r="P2" s="266">
        <v>2021</v>
      </c>
      <c r="Q2" s="266">
        <v>2022</v>
      </c>
      <c r="R2" s="266">
        <v>2023</v>
      </c>
      <c r="S2" s="266">
        <v>2024</v>
      </c>
      <c r="T2" s="346">
        <v>2025</v>
      </c>
      <c r="U2" s="266">
        <v>2026</v>
      </c>
      <c r="V2" s="266">
        <v>2027</v>
      </c>
      <c r="W2" s="303">
        <v>2028</v>
      </c>
      <c r="X2" s="164" t="s">
        <v>28</v>
      </c>
      <c r="Y2" s="164" t="s">
        <v>29</v>
      </c>
      <c r="Z2" s="164" t="s">
        <v>30</v>
      </c>
      <c r="AA2" s="356" t="s">
        <v>31</v>
      </c>
    </row>
    <row r="3" spans="1:27" s="160" customFormat="1" ht="77.25" customHeight="1">
      <c r="A3" s="453">
        <v>1</v>
      </c>
      <c r="B3" s="454" t="s">
        <v>203</v>
      </c>
      <c r="C3" s="455" t="s">
        <v>202</v>
      </c>
      <c r="D3" s="454" t="s">
        <v>62</v>
      </c>
      <c r="E3" s="456">
        <v>1207</v>
      </c>
      <c r="F3" s="457" t="s">
        <v>204</v>
      </c>
      <c r="G3" s="453" t="s">
        <v>74</v>
      </c>
      <c r="H3" s="458">
        <v>6.638</v>
      </c>
      <c r="I3" s="459" t="s">
        <v>205</v>
      </c>
      <c r="J3" s="460">
        <v>14179927.04</v>
      </c>
      <c r="K3" s="460">
        <v>7089963</v>
      </c>
      <c r="L3" s="460">
        <v>7089964.039999999</v>
      </c>
      <c r="M3" s="461">
        <v>0.5</v>
      </c>
      <c r="N3" s="462">
        <v>0</v>
      </c>
      <c r="O3" s="463">
        <v>2757251</v>
      </c>
      <c r="P3" s="463">
        <v>2629801</v>
      </c>
      <c r="Q3" s="463">
        <v>1702911</v>
      </c>
      <c r="R3" s="464"/>
      <c r="S3" s="465"/>
      <c r="T3" s="466"/>
      <c r="U3" s="465"/>
      <c r="V3" s="465"/>
      <c r="W3" s="465"/>
      <c r="X3" s="164" t="b">
        <f aca="true" t="shared" si="0" ref="X3:X17">K3=SUM(N3:W3)</f>
        <v>1</v>
      </c>
      <c r="Y3" s="165">
        <f>ROUND(K3/J3,4)</f>
        <v>0.5</v>
      </c>
      <c r="Z3" s="166" t="b">
        <f aca="true" t="shared" si="1" ref="Z3:Z39">Y3=M3</f>
        <v>1</v>
      </c>
      <c r="AA3" s="166" t="b">
        <f aca="true" t="shared" si="2" ref="AA3:AA21">J3=K3+L3</f>
        <v>1</v>
      </c>
    </row>
    <row r="4" spans="1:27" s="160" customFormat="1" ht="76.5">
      <c r="A4" s="453">
        <v>2</v>
      </c>
      <c r="B4" s="454" t="s">
        <v>206</v>
      </c>
      <c r="C4" s="455" t="s">
        <v>202</v>
      </c>
      <c r="D4" s="454" t="s">
        <v>69</v>
      </c>
      <c r="E4" s="454">
        <v>1212</v>
      </c>
      <c r="F4" s="457" t="s">
        <v>207</v>
      </c>
      <c r="G4" s="453" t="s">
        <v>74</v>
      </c>
      <c r="H4" s="458">
        <v>5.155</v>
      </c>
      <c r="I4" s="459" t="s">
        <v>208</v>
      </c>
      <c r="J4" s="460">
        <v>7714294.35</v>
      </c>
      <c r="K4" s="460">
        <v>5400006</v>
      </c>
      <c r="L4" s="460">
        <v>2314288.35</v>
      </c>
      <c r="M4" s="461">
        <v>0.7</v>
      </c>
      <c r="N4" s="462">
        <v>0</v>
      </c>
      <c r="O4" s="463">
        <v>154000</v>
      </c>
      <c r="P4" s="463">
        <v>3396359</v>
      </c>
      <c r="Q4" s="463">
        <v>1849647</v>
      </c>
      <c r="R4" s="464"/>
      <c r="S4" s="465"/>
      <c r="T4" s="466"/>
      <c r="U4" s="465"/>
      <c r="V4" s="465"/>
      <c r="W4" s="465"/>
      <c r="X4" s="164" t="b">
        <f aca="true" t="shared" si="3" ref="X4:X47">K4=SUM(N4:W4)</f>
        <v>1</v>
      </c>
      <c r="Y4" s="165">
        <f aca="true" t="shared" si="4" ref="Y4:Y47">ROUND(K4/J4,4)</f>
        <v>0.7</v>
      </c>
      <c r="Z4" s="166" t="b">
        <f aca="true" t="shared" si="5" ref="Z4:Z47">Y4=M4</f>
        <v>1</v>
      </c>
      <c r="AA4" s="166" t="b">
        <f aca="true" t="shared" si="6" ref="AA4:AA47">J4=K4+L4</f>
        <v>1</v>
      </c>
    </row>
    <row r="5" spans="1:27" s="160" customFormat="1" ht="58.5" customHeight="1">
      <c r="A5" s="453">
        <v>3</v>
      </c>
      <c r="B5" s="454" t="s">
        <v>48</v>
      </c>
      <c r="C5" s="455" t="s">
        <v>202</v>
      </c>
      <c r="D5" s="454" t="s">
        <v>61</v>
      </c>
      <c r="E5" s="454">
        <v>1206</v>
      </c>
      <c r="F5" s="457" t="s">
        <v>71</v>
      </c>
      <c r="G5" s="453" t="s">
        <v>72</v>
      </c>
      <c r="H5" s="458">
        <v>4.263</v>
      </c>
      <c r="I5" s="467" t="s">
        <v>248</v>
      </c>
      <c r="J5" s="460">
        <v>16997717.68</v>
      </c>
      <c r="K5" s="460">
        <v>10198630</v>
      </c>
      <c r="L5" s="460">
        <v>6799087.68</v>
      </c>
      <c r="M5" s="468">
        <v>0.6</v>
      </c>
      <c r="N5" s="469">
        <v>0</v>
      </c>
      <c r="O5" s="469">
        <v>0</v>
      </c>
      <c r="P5" s="470">
        <v>4060317</v>
      </c>
      <c r="Q5" s="470">
        <v>1918009</v>
      </c>
      <c r="R5" s="470">
        <v>4220304</v>
      </c>
      <c r="S5" s="471"/>
      <c r="T5" s="466"/>
      <c r="U5" s="465"/>
      <c r="V5" s="465"/>
      <c r="W5" s="465"/>
      <c r="X5" s="164" t="b">
        <f t="shared" si="3"/>
        <v>1</v>
      </c>
      <c r="Y5" s="165">
        <f t="shared" si="4"/>
        <v>0.6</v>
      </c>
      <c r="Z5" s="166" t="b">
        <f t="shared" si="5"/>
        <v>1</v>
      </c>
      <c r="AA5" s="166" t="b">
        <f t="shared" si="6"/>
        <v>1</v>
      </c>
    </row>
    <row r="6" spans="1:27" s="160" customFormat="1" ht="58.5" customHeight="1">
      <c r="A6" s="453">
        <v>4</v>
      </c>
      <c r="B6" s="454" t="s">
        <v>49</v>
      </c>
      <c r="C6" s="455" t="s">
        <v>202</v>
      </c>
      <c r="D6" s="454" t="s">
        <v>62</v>
      </c>
      <c r="E6" s="454">
        <v>1207</v>
      </c>
      <c r="F6" s="457" t="s">
        <v>234</v>
      </c>
      <c r="G6" s="453" t="s">
        <v>74</v>
      </c>
      <c r="H6" s="458">
        <v>9.671</v>
      </c>
      <c r="I6" s="467" t="s">
        <v>264</v>
      </c>
      <c r="J6" s="460">
        <v>20934114.68</v>
      </c>
      <c r="K6" s="460">
        <v>11513763</v>
      </c>
      <c r="L6" s="460">
        <v>9420351.68</v>
      </c>
      <c r="M6" s="468">
        <v>0.55</v>
      </c>
      <c r="N6" s="469">
        <v>0</v>
      </c>
      <c r="O6" s="469">
        <v>0</v>
      </c>
      <c r="P6" s="470">
        <v>1892394</v>
      </c>
      <c r="Q6" s="470">
        <v>1528598</v>
      </c>
      <c r="R6" s="470">
        <v>8092771</v>
      </c>
      <c r="S6" s="471"/>
      <c r="T6" s="466"/>
      <c r="U6" s="472"/>
      <c r="V6" s="472"/>
      <c r="W6" s="472"/>
      <c r="X6" s="164" t="b">
        <f t="shared" si="3"/>
        <v>1</v>
      </c>
      <c r="Y6" s="165">
        <f t="shared" si="4"/>
        <v>0.55</v>
      </c>
      <c r="Z6" s="166" t="b">
        <f t="shared" si="5"/>
        <v>1</v>
      </c>
      <c r="AA6" s="166" t="b">
        <f t="shared" si="6"/>
        <v>1</v>
      </c>
    </row>
    <row r="7" spans="1:27" s="160" customFormat="1" ht="58.5" customHeight="1">
      <c r="A7" s="453">
        <v>5</v>
      </c>
      <c r="B7" s="454" t="s">
        <v>50</v>
      </c>
      <c r="C7" s="455" t="s">
        <v>202</v>
      </c>
      <c r="D7" s="454" t="s">
        <v>63</v>
      </c>
      <c r="E7" s="454">
        <v>1209</v>
      </c>
      <c r="F7" s="457" t="s">
        <v>75</v>
      </c>
      <c r="G7" s="453" t="s">
        <v>74</v>
      </c>
      <c r="H7" s="458">
        <v>3.658</v>
      </c>
      <c r="I7" s="467" t="s">
        <v>249</v>
      </c>
      <c r="J7" s="460">
        <v>9970060.2</v>
      </c>
      <c r="K7" s="460">
        <v>4334000</v>
      </c>
      <c r="L7" s="460">
        <v>5636060.199999999</v>
      </c>
      <c r="M7" s="468">
        <v>0.44</v>
      </c>
      <c r="N7" s="469">
        <v>0</v>
      </c>
      <c r="O7" s="469">
        <v>0</v>
      </c>
      <c r="P7" s="470">
        <v>757900</v>
      </c>
      <c r="Q7" s="470">
        <v>2334100</v>
      </c>
      <c r="R7" s="470">
        <v>1242000</v>
      </c>
      <c r="S7" s="471"/>
      <c r="T7" s="466"/>
      <c r="U7" s="465"/>
      <c r="V7" s="465"/>
      <c r="W7" s="465"/>
      <c r="X7" s="164" t="b">
        <f t="shared" si="3"/>
        <v>1</v>
      </c>
      <c r="Y7" s="165">
        <f t="shared" si="4"/>
        <v>0.4347</v>
      </c>
      <c r="Z7" s="166" t="b">
        <f t="shared" si="5"/>
        <v>0</v>
      </c>
      <c r="AA7" s="166" t="b">
        <f t="shared" si="6"/>
        <v>1</v>
      </c>
    </row>
    <row r="8" spans="1:27" s="160" customFormat="1" ht="58.5" customHeight="1">
      <c r="A8" s="453">
        <v>6</v>
      </c>
      <c r="B8" s="454" t="s">
        <v>51</v>
      </c>
      <c r="C8" s="455" t="s">
        <v>202</v>
      </c>
      <c r="D8" s="454" t="s">
        <v>65</v>
      </c>
      <c r="E8" s="454">
        <v>1262</v>
      </c>
      <c r="F8" s="457" t="s">
        <v>76</v>
      </c>
      <c r="G8" s="453" t="s">
        <v>74</v>
      </c>
      <c r="H8" s="458">
        <v>3.255</v>
      </c>
      <c r="I8" s="467" t="s">
        <v>264</v>
      </c>
      <c r="J8" s="460">
        <v>26475158.65</v>
      </c>
      <c r="K8" s="460">
        <v>12427719</v>
      </c>
      <c r="L8" s="460">
        <v>14047439.65</v>
      </c>
      <c r="M8" s="468">
        <v>0.47</v>
      </c>
      <c r="N8" s="469">
        <v>0</v>
      </c>
      <c r="O8" s="469">
        <v>0</v>
      </c>
      <c r="P8" s="470">
        <v>5390220</v>
      </c>
      <c r="Q8" s="470">
        <v>1537499</v>
      </c>
      <c r="R8" s="470">
        <v>5500000</v>
      </c>
      <c r="S8" s="471"/>
      <c r="T8" s="466"/>
      <c r="U8" s="465"/>
      <c r="V8" s="465"/>
      <c r="W8" s="465"/>
      <c r="X8" s="164" t="b">
        <f t="shared" si="3"/>
        <v>1</v>
      </c>
      <c r="Y8" s="165">
        <f t="shared" si="4"/>
        <v>0.4694</v>
      </c>
      <c r="Z8" s="166" t="b">
        <f t="shared" si="5"/>
        <v>0</v>
      </c>
      <c r="AA8" s="166" t="b">
        <f t="shared" si="6"/>
        <v>1</v>
      </c>
    </row>
    <row r="9" spans="1:27" s="160" customFormat="1" ht="58.5" customHeight="1">
      <c r="A9" s="453">
        <v>7</v>
      </c>
      <c r="B9" s="454" t="s">
        <v>52</v>
      </c>
      <c r="C9" s="455" t="s">
        <v>202</v>
      </c>
      <c r="D9" s="454" t="s">
        <v>66</v>
      </c>
      <c r="E9" s="454">
        <v>1219</v>
      </c>
      <c r="F9" s="457" t="s">
        <v>78</v>
      </c>
      <c r="G9" s="453" t="s">
        <v>72</v>
      </c>
      <c r="H9" s="458">
        <v>1.477</v>
      </c>
      <c r="I9" s="467" t="s">
        <v>255</v>
      </c>
      <c r="J9" s="460">
        <v>10309402.15</v>
      </c>
      <c r="K9" s="460">
        <v>5154701</v>
      </c>
      <c r="L9" s="460">
        <v>5154701.15</v>
      </c>
      <c r="M9" s="468">
        <v>0.5</v>
      </c>
      <c r="N9" s="469">
        <v>0</v>
      </c>
      <c r="O9" s="469">
        <v>0</v>
      </c>
      <c r="P9" s="470">
        <v>2188271</v>
      </c>
      <c r="Q9" s="470">
        <v>934318</v>
      </c>
      <c r="R9" s="470">
        <v>2032112</v>
      </c>
      <c r="S9" s="471"/>
      <c r="T9" s="466"/>
      <c r="U9" s="465"/>
      <c r="V9" s="465"/>
      <c r="W9" s="465"/>
      <c r="X9" s="164" t="b">
        <f t="shared" si="3"/>
        <v>1</v>
      </c>
      <c r="Y9" s="165">
        <f t="shared" si="4"/>
        <v>0.5</v>
      </c>
      <c r="Z9" s="166" t="b">
        <f t="shared" si="5"/>
        <v>1</v>
      </c>
      <c r="AA9" s="166" t="b">
        <f t="shared" si="6"/>
        <v>1</v>
      </c>
    </row>
    <row r="10" spans="1:27" s="160" customFormat="1" ht="58.5" customHeight="1">
      <c r="A10" s="453">
        <v>8</v>
      </c>
      <c r="B10" s="454" t="s">
        <v>53</v>
      </c>
      <c r="C10" s="455" t="s">
        <v>202</v>
      </c>
      <c r="D10" s="454" t="s">
        <v>66</v>
      </c>
      <c r="E10" s="454">
        <v>1219</v>
      </c>
      <c r="F10" s="457" t="s">
        <v>79</v>
      </c>
      <c r="G10" s="453" t="s">
        <v>72</v>
      </c>
      <c r="H10" s="458">
        <v>0.159</v>
      </c>
      <c r="I10" s="467" t="s">
        <v>80</v>
      </c>
      <c r="J10" s="460">
        <v>1755245.65</v>
      </c>
      <c r="K10" s="460">
        <v>877622</v>
      </c>
      <c r="L10" s="460">
        <v>877623.65</v>
      </c>
      <c r="M10" s="468">
        <v>0.5</v>
      </c>
      <c r="N10" s="469">
        <v>0</v>
      </c>
      <c r="O10" s="469">
        <v>0</v>
      </c>
      <c r="P10" s="470">
        <v>312022</v>
      </c>
      <c r="Q10" s="470">
        <v>565600</v>
      </c>
      <c r="R10" s="470"/>
      <c r="S10" s="471"/>
      <c r="T10" s="466"/>
      <c r="U10" s="465"/>
      <c r="V10" s="465"/>
      <c r="W10" s="465"/>
      <c r="X10" s="164" t="b">
        <f t="shared" si="3"/>
        <v>1</v>
      </c>
      <c r="Y10" s="165">
        <f t="shared" si="4"/>
        <v>0.5</v>
      </c>
      <c r="Z10" s="166" t="b">
        <f t="shared" si="5"/>
        <v>1</v>
      </c>
      <c r="AA10" s="166" t="b">
        <f t="shared" si="6"/>
        <v>1</v>
      </c>
    </row>
    <row r="11" spans="1:27" s="160" customFormat="1" ht="58.5" customHeight="1">
      <c r="A11" s="453">
        <v>9</v>
      </c>
      <c r="B11" s="454" t="s">
        <v>54</v>
      </c>
      <c r="C11" s="455" t="s">
        <v>202</v>
      </c>
      <c r="D11" s="454" t="s">
        <v>67</v>
      </c>
      <c r="E11" s="454">
        <v>1202</v>
      </c>
      <c r="F11" s="457" t="s">
        <v>81</v>
      </c>
      <c r="G11" s="453" t="s">
        <v>74</v>
      </c>
      <c r="H11" s="458">
        <v>2.225</v>
      </c>
      <c r="I11" s="473" t="s">
        <v>252</v>
      </c>
      <c r="J11" s="460">
        <v>2243272.61</v>
      </c>
      <c r="K11" s="460">
        <v>1233799</v>
      </c>
      <c r="L11" s="460">
        <v>1009473.61</v>
      </c>
      <c r="M11" s="468">
        <v>0.55</v>
      </c>
      <c r="N11" s="469">
        <v>0</v>
      </c>
      <c r="O11" s="469">
        <v>0</v>
      </c>
      <c r="P11" s="470">
        <v>303953</v>
      </c>
      <c r="Q11" s="470">
        <v>929846</v>
      </c>
      <c r="R11" s="470"/>
      <c r="S11" s="471"/>
      <c r="T11" s="466"/>
      <c r="U11" s="465"/>
      <c r="V11" s="465"/>
      <c r="W11" s="465"/>
      <c r="X11" s="164" t="b">
        <f t="shared" si="3"/>
        <v>1</v>
      </c>
      <c r="Y11" s="165">
        <f t="shared" si="4"/>
        <v>0.55</v>
      </c>
      <c r="Z11" s="166" t="b">
        <f t="shared" si="5"/>
        <v>1</v>
      </c>
      <c r="AA11" s="166" t="b">
        <f t="shared" si="6"/>
        <v>1</v>
      </c>
    </row>
    <row r="12" spans="1:27" s="160" customFormat="1" ht="58.5" customHeight="1">
      <c r="A12" s="453">
        <v>10</v>
      </c>
      <c r="B12" s="454" t="s">
        <v>55</v>
      </c>
      <c r="C12" s="455" t="s">
        <v>202</v>
      </c>
      <c r="D12" s="454" t="s">
        <v>67</v>
      </c>
      <c r="E12" s="454">
        <v>1202</v>
      </c>
      <c r="F12" s="457" t="s">
        <v>82</v>
      </c>
      <c r="G12" s="453" t="s">
        <v>74</v>
      </c>
      <c r="H12" s="458">
        <v>5.354</v>
      </c>
      <c r="I12" s="473" t="s">
        <v>252</v>
      </c>
      <c r="J12" s="460">
        <v>3745471.4</v>
      </c>
      <c r="K12" s="460">
        <v>2060009</v>
      </c>
      <c r="L12" s="460">
        <v>1685462.4</v>
      </c>
      <c r="M12" s="468">
        <v>0.55</v>
      </c>
      <c r="N12" s="469">
        <v>0</v>
      </c>
      <c r="O12" s="469">
        <v>0</v>
      </c>
      <c r="P12" s="470">
        <v>759014</v>
      </c>
      <c r="Q12" s="470">
        <v>1300995</v>
      </c>
      <c r="R12" s="470"/>
      <c r="S12" s="471"/>
      <c r="T12" s="466"/>
      <c r="U12" s="465"/>
      <c r="V12" s="465"/>
      <c r="W12" s="465"/>
      <c r="X12" s="164" t="b">
        <f t="shared" si="3"/>
        <v>1</v>
      </c>
      <c r="Y12" s="165">
        <f t="shared" si="4"/>
        <v>0.55</v>
      </c>
      <c r="Z12" s="166" t="b">
        <f t="shared" si="5"/>
        <v>1</v>
      </c>
      <c r="AA12" s="166" t="b">
        <f t="shared" si="6"/>
        <v>1</v>
      </c>
    </row>
    <row r="13" spans="1:27" s="160" customFormat="1" ht="58.5" customHeight="1">
      <c r="A13" s="453">
        <v>11</v>
      </c>
      <c r="B13" s="454" t="s">
        <v>56</v>
      </c>
      <c r="C13" s="455" t="s">
        <v>202</v>
      </c>
      <c r="D13" s="454" t="s">
        <v>67</v>
      </c>
      <c r="E13" s="454">
        <v>1202</v>
      </c>
      <c r="F13" s="457" t="s">
        <v>275</v>
      </c>
      <c r="G13" s="453" t="s">
        <v>74</v>
      </c>
      <c r="H13" s="458">
        <v>2.847</v>
      </c>
      <c r="I13" s="473" t="s">
        <v>252</v>
      </c>
      <c r="J13" s="460">
        <v>9464773.45</v>
      </c>
      <c r="K13" s="460">
        <v>5205625</v>
      </c>
      <c r="L13" s="460">
        <v>4259148.45</v>
      </c>
      <c r="M13" s="468">
        <v>0.55</v>
      </c>
      <c r="N13" s="469">
        <v>0</v>
      </c>
      <c r="O13" s="469">
        <v>0</v>
      </c>
      <c r="P13" s="470">
        <v>2509979</v>
      </c>
      <c r="Q13" s="470">
        <v>2695646</v>
      </c>
      <c r="R13" s="470"/>
      <c r="S13" s="471"/>
      <c r="T13" s="466"/>
      <c r="U13" s="465"/>
      <c r="V13" s="465"/>
      <c r="W13" s="465"/>
      <c r="X13" s="164" t="b">
        <f t="shared" si="3"/>
        <v>1</v>
      </c>
      <c r="Y13" s="165">
        <f t="shared" si="4"/>
        <v>0.55</v>
      </c>
      <c r="Z13" s="166" t="b">
        <f t="shared" si="5"/>
        <v>1</v>
      </c>
      <c r="AA13" s="166" t="b">
        <f t="shared" si="6"/>
        <v>1</v>
      </c>
    </row>
    <row r="14" spans="1:27" s="160" customFormat="1" ht="58.5" customHeight="1">
      <c r="A14" s="453">
        <v>12</v>
      </c>
      <c r="B14" s="454" t="s">
        <v>57</v>
      </c>
      <c r="C14" s="455" t="s">
        <v>202</v>
      </c>
      <c r="D14" s="454" t="s">
        <v>68</v>
      </c>
      <c r="E14" s="454">
        <v>1215</v>
      </c>
      <c r="F14" s="457" t="s">
        <v>83</v>
      </c>
      <c r="G14" s="453" t="s">
        <v>74</v>
      </c>
      <c r="H14" s="458">
        <v>0.894</v>
      </c>
      <c r="I14" s="467" t="s">
        <v>241</v>
      </c>
      <c r="J14" s="460">
        <v>1658000</v>
      </c>
      <c r="K14" s="460">
        <v>994800</v>
      </c>
      <c r="L14" s="460">
        <v>663200</v>
      </c>
      <c r="M14" s="468">
        <v>0.6</v>
      </c>
      <c r="N14" s="469">
        <v>0</v>
      </c>
      <c r="O14" s="469">
        <v>0</v>
      </c>
      <c r="P14" s="470">
        <v>557088</v>
      </c>
      <c r="Q14" s="470">
        <v>437712</v>
      </c>
      <c r="R14" s="470"/>
      <c r="S14" s="471"/>
      <c r="T14" s="466"/>
      <c r="U14" s="465"/>
      <c r="V14" s="465"/>
      <c r="W14" s="465"/>
      <c r="X14" s="164" t="b">
        <f t="shared" si="3"/>
        <v>1</v>
      </c>
      <c r="Y14" s="165">
        <f t="shared" si="4"/>
        <v>0.6</v>
      </c>
      <c r="Z14" s="166" t="b">
        <f t="shared" si="5"/>
        <v>1</v>
      </c>
      <c r="AA14" s="166" t="b">
        <f t="shared" si="6"/>
        <v>1</v>
      </c>
    </row>
    <row r="15" spans="1:27" s="160" customFormat="1" ht="58.5" customHeight="1">
      <c r="A15" s="453">
        <v>13</v>
      </c>
      <c r="B15" s="454" t="s">
        <v>58</v>
      </c>
      <c r="C15" s="455" t="s">
        <v>202</v>
      </c>
      <c r="D15" s="454" t="s">
        <v>70</v>
      </c>
      <c r="E15" s="454">
        <v>1218</v>
      </c>
      <c r="F15" s="457" t="s">
        <v>84</v>
      </c>
      <c r="G15" s="453" t="s">
        <v>72</v>
      </c>
      <c r="H15" s="458">
        <v>0.835</v>
      </c>
      <c r="I15" s="467" t="s">
        <v>254</v>
      </c>
      <c r="J15" s="460">
        <v>1995223.81</v>
      </c>
      <c r="K15" s="460">
        <v>1097373</v>
      </c>
      <c r="L15" s="460">
        <v>897850.81</v>
      </c>
      <c r="M15" s="468">
        <v>0.55</v>
      </c>
      <c r="N15" s="469">
        <v>0</v>
      </c>
      <c r="O15" s="469">
        <v>0</v>
      </c>
      <c r="P15" s="470">
        <v>653452</v>
      </c>
      <c r="Q15" s="470">
        <v>443921</v>
      </c>
      <c r="R15" s="470"/>
      <c r="S15" s="471"/>
      <c r="T15" s="466"/>
      <c r="U15" s="465"/>
      <c r="V15" s="465"/>
      <c r="W15" s="465"/>
      <c r="X15" s="164" t="b">
        <f t="shared" si="3"/>
        <v>1</v>
      </c>
      <c r="Y15" s="165">
        <f t="shared" si="4"/>
        <v>0.55</v>
      </c>
      <c r="Z15" s="166" t="b">
        <f t="shared" si="5"/>
        <v>1</v>
      </c>
      <c r="AA15" s="166" t="b">
        <f t="shared" si="6"/>
        <v>1</v>
      </c>
    </row>
    <row r="16" spans="1:27" s="160" customFormat="1" ht="84" customHeight="1">
      <c r="A16" s="453">
        <v>14</v>
      </c>
      <c r="B16" s="454" t="s">
        <v>965</v>
      </c>
      <c r="C16" s="455" t="s">
        <v>202</v>
      </c>
      <c r="D16" s="456" t="s">
        <v>62</v>
      </c>
      <c r="E16" s="456">
        <v>1207</v>
      </c>
      <c r="F16" s="474" t="s">
        <v>966</v>
      </c>
      <c r="G16" s="475" t="s">
        <v>77</v>
      </c>
      <c r="H16" s="476">
        <v>6.246</v>
      </c>
      <c r="I16" s="477" t="s">
        <v>967</v>
      </c>
      <c r="J16" s="460">
        <v>6721855.54</v>
      </c>
      <c r="K16" s="460">
        <v>3697020</v>
      </c>
      <c r="L16" s="460">
        <v>3024835.54</v>
      </c>
      <c r="M16" s="468">
        <v>0.55</v>
      </c>
      <c r="N16" s="469">
        <v>0</v>
      </c>
      <c r="O16" s="469">
        <v>0</v>
      </c>
      <c r="P16" s="470">
        <v>3697020</v>
      </c>
      <c r="Q16" s="462">
        <v>0</v>
      </c>
      <c r="R16" s="470"/>
      <c r="S16" s="471"/>
      <c r="T16" s="466"/>
      <c r="U16" s="465"/>
      <c r="V16" s="465"/>
      <c r="W16" s="465"/>
      <c r="X16" s="164" t="b">
        <f t="shared" si="3"/>
        <v>1</v>
      </c>
      <c r="Y16" s="165">
        <f t="shared" si="4"/>
        <v>0.55</v>
      </c>
      <c r="Z16" s="166" t="b">
        <f t="shared" si="5"/>
        <v>1</v>
      </c>
      <c r="AA16" s="166" t="b">
        <f t="shared" si="6"/>
        <v>1</v>
      </c>
    </row>
    <row r="17" spans="1:27" s="160" customFormat="1" ht="89.25" customHeight="1">
      <c r="A17" s="453">
        <v>15</v>
      </c>
      <c r="B17" s="454" t="s">
        <v>60</v>
      </c>
      <c r="C17" s="455" t="s">
        <v>202</v>
      </c>
      <c r="D17" s="456" t="s">
        <v>70</v>
      </c>
      <c r="E17" s="456">
        <v>1218</v>
      </c>
      <c r="F17" s="474" t="s">
        <v>85</v>
      </c>
      <c r="G17" s="475" t="s">
        <v>72</v>
      </c>
      <c r="H17" s="476">
        <v>5.565</v>
      </c>
      <c r="I17" s="477" t="s">
        <v>86</v>
      </c>
      <c r="J17" s="460">
        <v>9293873.08</v>
      </c>
      <c r="K17" s="460">
        <v>5111630</v>
      </c>
      <c r="L17" s="460">
        <v>4182243.08</v>
      </c>
      <c r="M17" s="468">
        <v>0.55</v>
      </c>
      <c r="N17" s="469">
        <v>0</v>
      </c>
      <c r="O17" s="469">
        <v>0</v>
      </c>
      <c r="P17" s="470">
        <v>1800000</v>
      </c>
      <c r="Q17" s="470">
        <v>1200000</v>
      </c>
      <c r="R17" s="470">
        <v>2111630</v>
      </c>
      <c r="S17" s="471"/>
      <c r="T17" s="466"/>
      <c r="U17" s="465"/>
      <c r="V17" s="465"/>
      <c r="W17" s="465"/>
      <c r="X17" s="164" t="b">
        <f t="shared" si="3"/>
        <v>1</v>
      </c>
      <c r="Y17" s="165">
        <f t="shared" si="4"/>
        <v>0.55</v>
      </c>
      <c r="Z17" s="166" t="b">
        <f t="shared" si="5"/>
        <v>1</v>
      </c>
      <c r="AA17" s="166" t="b">
        <f t="shared" si="6"/>
        <v>1</v>
      </c>
    </row>
    <row r="18" spans="1:27" s="160" customFormat="1" ht="58.5" customHeight="1">
      <c r="A18" s="453">
        <v>16</v>
      </c>
      <c r="B18" s="454" t="s">
        <v>87</v>
      </c>
      <c r="C18" s="455" t="s">
        <v>202</v>
      </c>
      <c r="D18" s="456" t="s">
        <v>88</v>
      </c>
      <c r="E18" s="456">
        <v>1216</v>
      </c>
      <c r="F18" s="474" t="s">
        <v>89</v>
      </c>
      <c r="G18" s="475" t="s">
        <v>77</v>
      </c>
      <c r="H18" s="476">
        <v>0.442</v>
      </c>
      <c r="I18" s="369" t="s">
        <v>267</v>
      </c>
      <c r="J18" s="460">
        <v>23910116.89</v>
      </c>
      <c r="K18" s="460">
        <v>19128092</v>
      </c>
      <c r="L18" s="460">
        <v>4782024.89</v>
      </c>
      <c r="M18" s="468">
        <v>0.8</v>
      </c>
      <c r="N18" s="469">
        <v>0</v>
      </c>
      <c r="O18" s="469">
        <v>0</v>
      </c>
      <c r="P18" s="470">
        <v>11980027</v>
      </c>
      <c r="Q18" s="470">
        <v>7101000</v>
      </c>
      <c r="R18" s="470">
        <v>47065</v>
      </c>
      <c r="S18" s="471"/>
      <c r="T18" s="466"/>
      <c r="U18" s="465"/>
      <c r="V18" s="465"/>
      <c r="W18" s="465"/>
      <c r="X18" s="164" t="b">
        <f t="shared" si="3"/>
        <v>1</v>
      </c>
      <c r="Y18" s="165">
        <f t="shared" si="4"/>
        <v>0.8</v>
      </c>
      <c r="Z18" s="166" t="b">
        <f t="shared" si="5"/>
        <v>1</v>
      </c>
      <c r="AA18" s="166" t="b">
        <f t="shared" si="6"/>
        <v>1</v>
      </c>
    </row>
    <row r="19" spans="1:27" s="268" customFormat="1" ht="58.5" customHeight="1">
      <c r="A19" s="453">
        <v>17</v>
      </c>
      <c r="B19" s="454" t="s">
        <v>91</v>
      </c>
      <c r="C19" s="455" t="s">
        <v>202</v>
      </c>
      <c r="D19" s="454" t="s">
        <v>64</v>
      </c>
      <c r="E19" s="454">
        <v>1210</v>
      </c>
      <c r="F19" s="457" t="s">
        <v>95</v>
      </c>
      <c r="G19" s="453" t="s">
        <v>77</v>
      </c>
      <c r="H19" s="458">
        <v>8.12</v>
      </c>
      <c r="I19" s="467" t="s">
        <v>242</v>
      </c>
      <c r="J19" s="460">
        <v>9907127.8</v>
      </c>
      <c r="K19" s="460">
        <v>5448914</v>
      </c>
      <c r="L19" s="460">
        <v>4458213.800000001</v>
      </c>
      <c r="M19" s="468">
        <v>0.55</v>
      </c>
      <c r="N19" s="478">
        <v>0</v>
      </c>
      <c r="O19" s="478">
        <v>0</v>
      </c>
      <c r="P19" s="470">
        <v>1641333</v>
      </c>
      <c r="Q19" s="470">
        <v>3807581</v>
      </c>
      <c r="R19" s="470"/>
      <c r="S19" s="479"/>
      <c r="T19" s="471"/>
      <c r="U19" s="480"/>
      <c r="V19" s="480"/>
      <c r="W19" s="480"/>
      <c r="X19" s="164" t="b">
        <f t="shared" si="3"/>
        <v>1</v>
      </c>
      <c r="Y19" s="165">
        <f t="shared" si="4"/>
        <v>0.55</v>
      </c>
      <c r="Z19" s="166" t="b">
        <f t="shared" si="5"/>
        <v>1</v>
      </c>
      <c r="AA19" s="166" t="b">
        <f t="shared" si="6"/>
        <v>1</v>
      </c>
    </row>
    <row r="20" spans="1:27" s="259" customFormat="1" ht="58.5" customHeight="1">
      <c r="A20" s="453">
        <v>18</v>
      </c>
      <c r="B20" s="454" t="s">
        <v>59</v>
      </c>
      <c r="C20" s="455" t="s">
        <v>202</v>
      </c>
      <c r="D20" s="454" t="s">
        <v>62</v>
      </c>
      <c r="E20" s="454">
        <v>1207</v>
      </c>
      <c r="F20" s="457" t="s">
        <v>253</v>
      </c>
      <c r="G20" s="453" t="s">
        <v>77</v>
      </c>
      <c r="H20" s="458">
        <v>5.148</v>
      </c>
      <c r="I20" s="467" t="s">
        <v>257</v>
      </c>
      <c r="J20" s="460">
        <v>6784716.75</v>
      </c>
      <c r="K20" s="460">
        <v>3731594</v>
      </c>
      <c r="L20" s="460">
        <v>3053122.75</v>
      </c>
      <c r="M20" s="468">
        <v>0.55</v>
      </c>
      <c r="N20" s="469">
        <v>0</v>
      </c>
      <c r="O20" s="469">
        <v>0</v>
      </c>
      <c r="P20" s="470">
        <v>2058061</v>
      </c>
      <c r="Q20" s="470">
        <v>1673533</v>
      </c>
      <c r="R20" s="481"/>
      <c r="S20" s="482"/>
      <c r="T20" s="466"/>
      <c r="U20" s="472"/>
      <c r="V20" s="465"/>
      <c r="W20" s="465"/>
      <c r="X20" s="164" t="b">
        <f t="shared" si="3"/>
        <v>1</v>
      </c>
      <c r="Y20" s="165">
        <f t="shared" si="4"/>
        <v>0.55</v>
      </c>
      <c r="Z20" s="166" t="b">
        <f t="shared" si="5"/>
        <v>1</v>
      </c>
      <c r="AA20" s="166" t="b">
        <f t="shared" si="6"/>
        <v>1</v>
      </c>
    </row>
    <row r="21" spans="1:27" s="262" customFormat="1" ht="58.5" customHeight="1">
      <c r="A21" s="453">
        <v>19</v>
      </c>
      <c r="B21" s="454" t="s">
        <v>90</v>
      </c>
      <c r="C21" s="455" t="s">
        <v>202</v>
      </c>
      <c r="D21" s="454" t="s">
        <v>93</v>
      </c>
      <c r="E21" s="456">
        <v>1213</v>
      </c>
      <c r="F21" s="474" t="s">
        <v>94</v>
      </c>
      <c r="G21" s="475" t="s">
        <v>74</v>
      </c>
      <c r="H21" s="476">
        <v>0.763</v>
      </c>
      <c r="I21" s="483" t="s">
        <v>266</v>
      </c>
      <c r="J21" s="460">
        <v>2921468.82</v>
      </c>
      <c r="K21" s="460">
        <v>1460734</v>
      </c>
      <c r="L21" s="460">
        <v>1460734.82</v>
      </c>
      <c r="M21" s="468">
        <v>0.5</v>
      </c>
      <c r="N21" s="478">
        <v>0</v>
      </c>
      <c r="O21" s="478">
        <v>0</v>
      </c>
      <c r="P21" s="470">
        <v>978207</v>
      </c>
      <c r="Q21" s="470">
        <v>482527</v>
      </c>
      <c r="R21" s="470"/>
      <c r="S21" s="484"/>
      <c r="T21" s="471"/>
      <c r="U21" s="480"/>
      <c r="V21" s="480"/>
      <c r="W21" s="480"/>
      <c r="X21" s="164" t="b">
        <f t="shared" si="3"/>
        <v>1</v>
      </c>
      <c r="Y21" s="165">
        <f t="shared" si="4"/>
        <v>0.5</v>
      </c>
      <c r="Z21" s="166" t="b">
        <f t="shared" si="5"/>
        <v>1</v>
      </c>
      <c r="AA21" s="166" t="b">
        <f t="shared" si="6"/>
        <v>1</v>
      </c>
    </row>
    <row r="22" spans="1:27" s="262" customFormat="1" ht="95.25" customHeight="1">
      <c r="A22" s="453">
        <v>20</v>
      </c>
      <c r="B22" s="454" t="s">
        <v>92</v>
      </c>
      <c r="C22" s="455" t="s">
        <v>202</v>
      </c>
      <c r="D22" s="454" t="s">
        <v>64</v>
      </c>
      <c r="E22" s="456">
        <v>1210</v>
      </c>
      <c r="F22" s="474" t="s">
        <v>96</v>
      </c>
      <c r="G22" s="475" t="s">
        <v>77</v>
      </c>
      <c r="H22" s="476">
        <v>3.715</v>
      </c>
      <c r="I22" s="483" t="s">
        <v>985</v>
      </c>
      <c r="J22" s="460">
        <v>5196950.32</v>
      </c>
      <c r="K22" s="460">
        <v>2858322</v>
      </c>
      <c r="L22" s="460">
        <v>2338628.32</v>
      </c>
      <c r="M22" s="468">
        <v>0.55</v>
      </c>
      <c r="N22" s="478">
        <v>0</v>
      </c>
      <c r="O22" s="478">
        <v>0</v>
      </c>
      <c r="P22" s="470">
        <v>2713132</v>
      </c>
      <c r="Q22" s="470">
        <v>145190</v>
      </c>
      <c r="R22" s="470"/>
      <c r="S22" s="484"/>
      <c r="T22" s="471"/>
      <c r="U22" s="480"/>
      <c r="V22" s="480"/>
      <c r="W22" s="480"/>
      <c r="X22" s="164" t="b">
        <f t="shared" si="3"/>
        <v>1</v>
      </c>
      <c r="Y22" s="165">
        <f t="shared" si="4"/>
        <v>0.55</v>
      </c>
      <c r="Z22" s="166" t="b">
        <f t="shared" si="5"/>
        <v>1</v>
      </c>
      <c r="AA22" s="166" t="b">
        <f t="shared" si="6"/>
        <v>1</v>
      </c>
    </row>
    <row r="23" spans="1:27" s="262" customFormat="1" ht="58.5" customHeight="1">
      <c r="A23" s="453">
        <v>21</v>
      </c>
      <c r="B23" s="454" t="s">
        <v>982</v>
      </c>
      <c r="C23" s="455" t="s">
        <v>202</v>
      </c>
      <c r="D23" s="454" t="s">
        <v>93</v>
      </c>
      <c r="E23" s="456">
        <v>1213</v>
      </c>
      <c r="F23" s="474" t="s">
        <v>983</v>
      </c>
      <c r="G23" s="485" t="s">
        <v>77</v>
      </c>
      <c r="H23" s="476">
        <v>1.26</v>
      </c>
      <c r="I23" s="483" t="s">
        <v>984</v>
      </c>
      <c r="J23" s="460">
        <v>2900148.88</v>
      </c>
      <c r="K23" s="460">
        <v>1450073</v>
      </c>
      <c r="L23" s="460">
        <v>1450075.88</v>
      </c>
      <c r="M23" s="468">
        <v>0.5</v>
      </c>
      <c r="N23" s="478">
        <v>0</v>
      </c>
      <c r="O23" s="478">
        <v>0</v>
      </c>
      <c r="P23" s="470">
        <v>454251</v>
      </c>
      <c r="Q23" s="470">
        <v>995822</v>
      </c>
      <c r="R23" s="470"/>
      <c r="S23" s="484"/>
      <c r="T23" s="471"/>
      <c r="U23" s="480"/>
      <c r="V23" s="480"/>
      <c r="W23" s="480"/>
      <c r="X23" s="164" t="b">
        <f t="shared" si="3"/>
        <v>1</v>
      </c>
      <c r="Y23" s="165">
        <f t="shared" si="4"/>
        <v>0.5</v>
      </c>
      <c r="Z23" s="166" t="b">
        <f t="shared" si="5"/>
        <v>1</v>
      </c>
      <c r="AA23" s="166" t="b">
        <f t="shared" si="6"/>
        <v>1</v>
      </c>
    </row>
    <row r="24" spans="1:27" s="268" customFormat="1" ht="60">
      <c r="A24" s="453">
        <v>22</v>
      </c>
      <c r="B24" s="467" t="s">
        <v>337</v>
      </c>
      <c r="C24" s="455" t="s">
        <v>313</v>
      </c>
      <c r="D24" s="467" t="s">
        <v>62</v>
      </c>
      <c r="E24" s="486">
        <v>1207</v>
      </c>
      <c r="F24" s="487" t="s">
        <v>348</v>
      </c>
      <c r="G24" s="488" t="s">
        <v>74</v>
      </c>
      <c r="H24" s="489">
        <v>2.46</v>
      </c>
      <c r="I24" s="467" t="s">
        <v>981</v>
      </c>
      <c r="J24" s="460">
        <v>12028150.27</v>
      </c>
      <c r="K24" s="460">
        <v>6014075</v>
      </c>
      <c r="L24" s="460">
        <v>6014075.27</v>
      </c>
      <c r="M24" s="468">
        <v>0.5</v>
      </c>
      <c r="N24" s="478"/>
      <c r="O24" s="478"/>
      <c r="P24" s="470"/>
      <c r="Q24" s="470">
        <v>4200000</v>
      </c>
      <c r="R24" s="470">
        <v>214075</v>
      </c>
      <c r="S24" s="470">
        <v>1600000</v>
      </c>
      <c r="T24" s="471"/>
      <c r="U24" s="480"/>
      <c r="V24" s="480"/>
      <c r="W24" s="480"/>
      <c r="X24" s="164" t="b">
        <f t="shared" si="3"/>
        <v>1</v>
      </c>
      <c r="Y24" s="165">
        <f t="shared" si="4"/>
        <v>0.5</v>
      </c>
      <c r="Z24" s="166" t="b">
        <f t="shared" si="5"/>
        <v>1</v>
      </c>
      <c r="AA24" s="166" t="b">
        <f t="shared" si="6"/>
        <v>1</v>
      </c>
    </row>
    <row r="25" spans="1:27" s="262" customFormat="1" ht="90">
      <c r="A25" s="490">
        <v>23</v>
      </c>
      <c r="B25" s="491" t="s">
        <v>338</v>
      </c>
      <c r="C25" s="492" t="s">
        <v>314</v>
      </c>
      <c r="D25" s="491" t="s">
        <v>334</v>
      </c>
      <c r="E25" s="322">
        <v>1201</v>
      </c>
      <c r="F25" s="493" t="s">
        <v>349</v>
      </c>
      <c r="G25" s="494" t="s">
        <v>72</v>
      </c>
      <c r="H25" s="495">
        <v>1.054</v>
      </c>
      <c r="I25" s="496" t="s">
        <v>350</v>
      </c>
      <c r="J25" s="497">
        <v>5395180.89</v>
      </c>
      <c r="K25" s="497">
        <v>2697590</v>
      </c>
      <c r="L25" s="497">
        <v>2697590.8899999997</v>
      </c>
      <c r="M25" s="498">
        <v>0.5</v>
      </c>
      <c r="N25" s="478"/>
      <c r="O25" s="478"/>
      <c r="P25" s="470"/>
      <c r="Q25" s="481">
        <v>2697590</v>
      </c>
      <c r="R25" s="481"/>
      <c r="S25" s="481"/>
      <c r="T25" s="499"/>
      <c r="U25" s="480"/>
      <c r="V25" s="480"/>
      <c r="W25" s="480"/>
      <c r="X25" s="164" t="b">
        <f t="shared" si="3"/>
        <v>1</v>
      </c>
      <c r="Y25" s="165">
        <f t="shared" si="4"/>
        <v>0.5</v>
      </c>
      <c r="Z25" s="166" t="b">
        <f t="shared" si="5"/>
        <v>1</v>
      </c>
      <c r="AA25" s="166" t="b">
        <f t="shared" si="6"/>
        <v>1</v>
      </c>
    </row>
    <row r="26" spans="1:27" s="268" customFormat="1" ht="58.5" customHeight="1">
      <c r="A26" s="453">
        <v>24</v>
      </c>
      <c r="B26" s="473" t="s">
        <v>339</v>
      </c>
      <c r="C26" s="455" t="s">
        <v>313</v>
      </c>
      <c r="D26" s="467" t="s">
        <v>68</v>
      </c>
      <c r="E26" s="486">
        <v>1215</v>
      </c>
      <c r="F26" s="487" t="s">
        <v>351</v>
      </c>
      <c r="G26" s="488" t="s">
        <v>74</v>
      </c>
      <c r="H26" s="489">
        <v>1.1365</v>
      </c>
      <c r="I26" s="467" t="s">
        <v>352</v>
      </c>
      <c r="J26" s="460">
        <v>2439386.87</v>
      </c>
      <c r="K26" s="460">
        <v>1219693</v>
      </c>
      <c r="L26" s="460">
        <v>1219693.87</v>
      </c>
      <c r="M26" s="468">
        <v>0.5</v>
      </c>
      <c r="N26" s="478"/>
      <c r="O26" s="478"/>
      <c r="P26" s="470"/>
      <c r="Q26" s="470">
        <v>365908</v>
      </c>
      <c r="R26" s="470">
        <v>853785</v>
      </c>
      <c r="S26" s="470"/>
      <c r="T26" s="471"/>
      <c r="U26" s="480"/>
      <c r="V26" s="480"/>
      <c r="W26" s="480"/>
      <c r="X26" s="164" t="b">
        <f t="shared" si="3"/>
        <v>1</v>
      </c>
      <c r="Y26" s="165">
        <f t="shared" si="4"/>
        <v>0.5</v>
      </c>
      <c r="Z26" s="166" t="b">
        <f t="shared" si="5"/>
        <v>1</v>
      </c>
      <c r="AA26" s="166" t="b">
        <f t="shared" si="6"/>
        <v>1</v>
      </c>
    </row>
    <row r="27" spans="1:27" s="268" customFormat="1" ht="58.5" customHeight="1">
      <c r="A27" s="453">
        <v>25</v>
      </c>
      <c r="B27" s="473" t="s">
        <v>340</v>
      </c>
      <c r="C27" s="455" t="s">
        <v>313</v>
      </c>
      <c r="D27" s="467" t="s">
        <v>67</v>
      </c>
      <c r="E27" s="486">
        <v>1202</v>
      </c>
      <c r="F27" s="487" t="s">
        <v>353</v>
      </c>
      <c r="G27" s="488" t="s">
        <v>74</v>
      </c>
      <c r="H27" s="489">
        <v>8.04</v>
      </c>
      <c r="I27" s="467" t="s">
        <v>306</v>
      </c>
      <c r="J27" s="460">
        <v>6744752.97</v>
      </c>
      <c r="K27" s="460">
        <v>3372375</v>
      </c>
      <c r="L27" s="460">
        <v>3372377.9699999997</v>
      </c>
      <c r="M27" s="468">
        <v>0.5</v>
      </c>
      <c r="N27" s="478"/>
      <c r="O27" s="478"/>
      <c r="P27" s="470"/>
      <c r="Q27" s="470">
        <v>1646598</v>
      </c>
      <c r="R27" s="470">
        <v>1725777</v>
      </c>
      <c r="S27" s="470"/>
      <c r="T27" s="471"/>
      <c r="U27" s="500"/>
      <c r="V27" s="500"/>
      <c r="W27" s="480"/>
      <c r="X27" s="164" t="b">
        <f t="shared" si="3"/>
        <v>1</v>
      </c>
      <c r="Y27" s="165">
        <f t="shared" si="4"/>
        <v>0.5</v>
      </c>
      <c r="Z27" s="166" t="b">
        <f t="shared" si="5"/>
        <v>1</v>
      </c>
      <c r="AA27" s="166" t="b">
        <f t="shared" si="6"/>
        <v>1</v>
      </c>
    </row>
    <row r="28" spans="1:27" s="268" customFormat="1" ht="58.5" customHeight="1">
      <c r="A28" s="453">
        <v>26</v>
      </c>
      <c r="B28" s="467" t="s">
        <v>341</v>
      </c>
      <c r="C28" s="455" t="s">
        <v>313</v>
      </c>
      <c r="D28" s="477" t="s">
        <v>335</v>
      </c>
      <c r="E28" s="486">
        <v>1211</v>
      </c>
      <c r="F28" s="487" t="s">
        <v>354</v>
      </c>
      <c r="G28" s="501" t="s">
        <v>72</v>
      </c>
      <c r="H28" s="502">
        <v>0.465</v>
      </c>
      <c r="I28" s="477" t="s">
        <v>355</v>
      </c>
      <c r="J28" s="460">
        <v>13375933.85</v>
      </c>
      <c r="K28" s="460">
        <v>6687966</v>
      </c>
      <c r="L28" s="460">
        <v>6687967.85</v>
      </c>
      <c r="M28" s="468">
        <v>0.5</v>
      </c>
      <c r="N28" s="478"/>
      <c r="O28" s="478"/>
      <c r="P28" s="470"/>
      <c r="Q28" s="470">
        <v>3343983</v>
      </c>
      <c r="R28" s="470">
        <v>3343983</v>
      </c>
      <c r="S28" s="470"/>
      <c r="T28" s="471"/>
      <c r="U28" s="480"/>
      <c r="V28" s="480"/>
      <c r="W28" s="480"/>
      <c r="X28" s="164" t="b">
        <f t="shared" si="3"/>
        <v>1</v>
      </c>
      <c r="Y28" s="165">
        <f t="shared" si="4"/>
        <v>0.5</v>
      </c>
      <c r="Z28" s="166" t="b">
        <f t="shared" si="5"/>
        <v>1</v>
      </c>
      <c r="AA28" s="166" t="b">
        <f t="shared" si="6"/>
        <v>1</v>
      </c>
    </row>
    <row r="29" spans="1:27" s="268" customFormat="1" ht="58.5" customHeight="1">
      <c r="A29" s="453">
        <v>27</v>
      </c>
      <c r="B29" s="467" t="s">
        <v>345</v>
      </c>
      <c r="C29" s="455" t="s">
        <v>313</v>
      </c>
      <c r="D29" s="477" t="s">
        <v>66</v>
      </c>
      <c r="E29" s="486">
        <v>1219</v>
      </c>
      <c r="F29" s="487" t="s">
        <v>362</v>
      </c>
      <c r="G29" s="501" t="s">
        <v>74</v>
      </c>
      <c r="H29" s="502">
        <v>2.92066</v>
      </c>
      <c r="I29" s="477" t="s">
        <v>363</v>
      </c>
      <c r="J29" s="460">
        <v>9069641.6</v>
      </c>
      <c r="K29" s="460">
        <v>4534820</v>
      </c>
      <c r="L29" s="460">
        <v>4534821.6</v>
      </c>
      <c r="M29" s="468">
        <v>0.5</v>
      </c>
      <c r="N29" s="478"/>
      <c r="O29" s="478"/>
      <c r="P29" s="470"/>
      <c r="Q29" s="470">
        <v>692818</v>
      </c>
      <c r="R29" s="470">
        <v>621501</v>
      </c>
      <c r="S29" s="470">
        <v>3220501</v>
      </c>
      <c r="T29" s="471"/>
      <c r="U29" s="480"/>
      <c r="V29" s="480"/>
      <c r="W29" s="480"/>
      <c r="X29" s="164" t="b">
        <f t="shared" si="3"/>
        <v>1</v>
      </c>
      <c r="Y29" s="165">
        <f t="shared" si="4"/>
        <v>0.5</v>
      </c>
      <c r="Z29" s="166" t="b">
        <f t="shared" si="5"/>
        <v>1</v>
      </c>
      <c r="AA29" s="166" t="b">
        <f t="shared" si="6"/>
        <v>1</v>
      </c>
    </row>
    <row r="30" spans="1:27" s="262" customFormat="1" ht="58.5" customHeight="1">
      <c r="A30" s="490">
        <v>28</v>
      </c>
      <c r="B30" s="503" t="s">
        <v>344</v>
      </c>
      <c r="C30" s="492" t="s">
        <v>314</v>
      </c>
      <c r="D30" s="503" t="s">
        <v>70</v>
      </c>
      <c r="E30" s="322">
        <v>1218</v>
      </c>
      <c r="F30" s="493" t="s">
        <v>360</v>
      </c>
      <c r="G30" s="504" t="s">
        <v>77</v>
      </c>
      <c r="H30" s="505">
        <v>2.91</v>
      </c>
      <c r="I30" s="506" t="s">
        <v>361</v>
      </c>
      <c r="J30" s="497">
        <v>1413662.43</v>
      </c>
      <c r="K30" s="497">
        <v>706831</v>
      </c>
      <c r="L30" s="497">
        <v>706831.4299999999</v>
      </c>
      <c r="M30" s="498">
        <v>0.5</v>
      </c>
      <c r="N30" s="478"/>
      <c r="O30" s="478"/>
      <c r="P30" s="470"/>
      <c r="Q30" s="481">
        <v>706831</v>
      </c>
      <c r="R30" s="481"/>
      <c r="S30" s="507"/>
      <c r="T30" s="499"/>
      <c r="U30" s="480"/>
      <c r="V30" s="480"/>
      <c r="W30" s="480"/>
      <c r="X30" s="164" t="b">
        <f t="shared" si="3"/>
        <v>1</v>
      </c>
      <c r="Y30" s="165">
        <f t="shared" si="4"/>
        <v>0.5</v>
      </c>
      <c r="Z30" s="166" t="b">
        <f t="shared" si="5"/>
        <v>1</v>
      </c>
      <c r="AA30" s="166" t="b">
        <f t="shared" si="6"/>
        <v>1</v>
      </c>
    </row>
    <row r="31" spans="1:27" s="262" customFormat="1" ht="58.5" customHeight="1">
      <c r="A31" s="490">
        <v>29</v>
      </c>
      <c r="B31" s="503" t="s">
        <v>346</v>
      </c>
      <c r="C31" s="492" t="s">
        <v>314</v>
      </c>
      <c r="D31" s="503" t="s">
        <v>336</v>
      </c>
      <c r="E31" s="322">
        <v>1205</v>
      </c>
      <c r="F31" s="493" t="s">
        <v>364</v>
      </c>
      <c r="G31" s="504" t="s">
        <v>74</v>
      </c>
      <c r="H31" s="505">
        <v>0.6585</v>
      </c>
      <c r="I31" s="506" t="s">
        <v>333</v>
      </c>
      <c r="J31" s="497">
        <v>3571609.82</v>
      </c>
      <c r="K31" s="497">
        <v>1785804</v>
      </c>
      <c r="L31" s="497">
        <v>1785805.8199999998</v>
      </c>
      <c r="M31" s="498">
        <v>0.5</v>
      </c>
      <c r="N31" s="478"/>
      <c r="O31" s="478"/>
      <c r="P31" s="470"/>
      <c r="Q31" s="481">
        <v>1785804</v>
      </c>
      <c r="R31" s="481"/>
      <c r="S31" s="481"/>
      <c r="T31" s="499"/>
      <c r="U31" s="480"/>
      <c r="V31" s="480"/>
      <c r="W31" s="480"/>
      <c r="X31" s="164" t="b">
        <f t="shared" si="3"/>
        <v>1</v>
      </c>
      <c r="Y31" s="165">
        <f t="shared" si="4"/>
        <v>0.5</v>
      </c>
      <c r="Z31" s="166" t="b">
        <f t="shared" si="5"/>
        <v>1</v>
      </c>
      <c r="AA31" s="166" t="b">
        <f t="shared" si="6"/>
        <v>1</v>
      </c>
    </row>
    <row r="32" spans="1:27" s="268" customFormat="1" ht="58.5" customHeight="1">
      <c r="A32" s="453">
        <v>30</v>
      </c>
      <c r="B32" s="477" t="s">
        <v>879</v>
      </c>
      <c r="C32" s="455" t="s">
        <v>313</v>
      </c>
      <c r="D32" s="477" t="s">
        <v>69</v>
      </c>
      <c r="E32" s="486">
        <v>1212</v>
      </c>
      <c r="F32" s="487" t="s">
        <v>880</v>
      </c>
      <c r="G32" s="501" t="s">
        <v>74</v>
      </c>
      <c r="H32" s="502">
        <v>2.552</v>
      </c>
      <c r="I32" s="477" t="s">
        <v>881</v>
      </c>
      <c r="J32" s="460">
        <v>10461851.64</v>
      </c>
      <c r="K32" s="460">
        <f>INT(J32*M32)</f>
        <v>6277110</v>
      </c>
      <c r="L32" s="460">
        <f>J32-K32</f>
        <v>4184741.6400000006</v>
      </c>
      <c r="M32" s="468">
        <v>0.6</v>
      </c>
      <c r="N32" s="478"/>
      <c r="O32" s="478"/>
      <c r="P32" s="470"/>
      <c r="Q32" s="470">
        <v>6177110</v>
      </c>
      <c r="R32" s="470">
        <v>100000</v>
      </c>
      <c r="S32" s="470"/>
      <c r="T32" s="471"/>
      <c r="U32" s="480"/>
      <c r="V32" s="480"/>
      <c r="W32" s="480"/>
      <c r="X32" s="164" t="b">
        <f t="shared" si="3"/>
        <v>1</v>
      </c>
      <c r="Y32" s="165">
        <f t="shared" si="4"/>
        <v>0.6</v>
      </c>
      <c r="Z32" s="166" t="b">
        <f t="shared" si="5"/>
        <v>1</v>
      </c>
      <c r="AA32" s="166" t="b">
        <f t="shared" si="6"/>
        <v>1</v>
      </c>
    </row>
    <row r="33" spans="1:27" s="268" customFormat="1" ht="58.5" customHeight="1">
      <c r="A33" s="453">
        <v>31</v>
      </c>
      <c r="B33" s="477" t="s">
        <v>368</v>
      </c>
      <c r="C33" s="455" t="s">
        <v>313</v>
      </c>
      <c r="D33" s="477" t="s">
        <v>64</v>
      </c>
      <c r="E33" s="486">
        <v>1210</v>
      </c>
      <c r="F33" s="487" t="s">
        <v>380</v>
      </c>
      <c r="G33" s="501" t="s">
        <v>77</v>
      </c>
      <c r="H33" s="502">
        <v>8.875</v>
      </c>
      <c r="I33" s="477" t="s">
        <v>955</v>
      </c>
      <c r="J33" s="460">
        <v>11623788.91</v>
      </c>
      <c r="K33" s="460">
        <v>5811893</v>
      </c>
      <c r="L33" s="460">
        <v>5811895.91</v>
      </c>
      <c r="M33" s="468">
        <v>0.5</v>
      </c>
      <c r="N33" s="478"/>
      <c r="O33" s="478"/>
      <c r="P33" s="470"/>
      <c r="Q33" s="470">
        <v>1545322</v>
      </c>
      <c r="R33" s="470">
        <v>292736</v>
      </c>
      <c r="S33" s="470">
        <v>2000000</v>
      </c>
      <c r="T33" s="470">
        <v>1973835</v>
      </c>
      <c r="U33" s="480"/>
      <c r="V33" s="480"/>
      <c r="W33" s="480"/>
      <c r="X33" s="164" t="b">
        <f t="shared" si="3"/>
        <v>1</v>
      </c>
      <c r="Y33" s="165">
        <f t="shared" si="4"/>
        <v>0.5</v>
      </c>
      <c r="Z33" s="166" t="b">
        <f t="shared" si="5"/>
        <v>1</v>
      </c>
      <c r="AA33" s="166" t="b">
        <f t="shared" si="6"/>
        <v>1</v>
      </c>
    </row>
    <row r="34" spans="1:27" s="268" customFormat="1" ht="58.5" customHeight="1">
      <c r="A34" s="453">
        <v>32</v>
      </c>
      <c r="B34" s="477" t="s">
        <v>347</v>
      </c>
      <c r="C34" s="455" t="s">
        <v>313</v>
      </c>
      <c r="D34" s="477" t="s">
        <v>61</v>
      </c>
      <c r="E34" s="486">
        <v>1206</v>
      </c>
      <c r="F34" s="487" t="s">
        <v>365</v>
      </c>
      <c r="G34" s="501" t="s">
        <v>77</v>
      </c>
      <c r="H34" s="502">
        <v>8.074</v>
      </c>
      <c r="I34" s="477" t="s">
        <v>366</v>
      </c>
      <c r="J34" s="460">
        <v>11383500</v>
      </c>
      <c r="K34" s="460">
        <f>INT(J34*M34)</f>
        <v>7968450</v>
      </c>
      <c r="L34" s="460">
        <f>J34-K34</f>
        <v>3415050</v>
      </c>
      <c r="M34" s="468">
        <v>0.7</v>
      </c>
      <c r="N34" s="478"/>
      <c r="O34" s="478"/>
      <c r="P34" s="470"/>
      <c r="Q34" s="470">
        <v>5553450</v>
      </c>
      <c r="R34" s="470">
        <v>2415000</v>
      </c>
      <c r="S34" s="484"/>
      <c r="T34" s="471"/>
      <c r="U34" s="480"/>
      <c r="V34" s="480"/>
      <c r="W34" s="480"/>
      <c r="X34" s="164" t="b">
        <f t="shared" si="3"/>
        <v>1</v>
      </c>
      <c r="Y34" s="165">
        <f t="shared" si="4"/>
        <v>0.7</v>
      </c>
      <c r="Z34" s="166" t="b">
        <f t="shared" si="5"/>
        <v>1</v>
      </c>
      <c r="AA34" s="166" t="b">
        <f t="shared" si="6"/>
        <v>1</v>
      </c>
    </row>
    <row r="35" spans="1:27" s="268" customFormat="1" ht="58.5" customHeight="1">
      <c r="A35" s="453">
        <v>33</v>
      </c>
      <c r="B35" s="477" t="s">
        <v>369</v>
      </c>
      <c r="C35" s="455" t="s">
        <v>313</v>
      </c>
      <c r="D35" s="477" t="s">
        <v>93</v>
      </c>
      <c r="E35" s="486">
        <v>1213</v>
      </c>
      <c r="F35" s="487" t="s">
        <v>381</v>
      </c>
      <c r="G35" s="501" t="s">
        <v>74</v>
      </c>
      <c r="H35" s="502">
        <v>0.8</v>
      </c>
      <c r="I35" s="477" t="s">
        <v>382</v>
      </c>
      <c r="J35" s="460">
        <v>4936594.85</v>
      </c>
      <c r="K35" s="460">
        <v>2468296</v>
      </c>
      <c r="L35" s="460">
        <v>2468298.8499999996</v>
      </c>
      <c r="M35" s="468">
        <v>0.5</v>
      </c>
      <c r="N35" s="478"/>
      <c r="O35" s="478"/>
      <c r="P35" s="470"/>
      <c r="Q35" s="470">
        <v>1135241</v>
      </c>
      <c r="R35" s="470">
        <v>1333055</v>
      </c>
      <c r="S35" s="484"/>
      <c r="T35" s="471"/>
      <c r="U35" s="480"/>
      <c r="V35" s="480"/>
      <c r="W35" s="480"/>
      <c r="X35" s="164" t="b">
        <f t="shared" si="3"/>
        <v>1</v>
      </c>
      <c r="Y35" s="165">
        <f t="shared" si="4"/>
        <v>0.5</v>
      </c>
      <c r="Z35" s="166" t="b">
        <f t="shared" si="5"/>
        <v>1</v>
      </c>
      <c r="AA35" s="166" t="b">
        <f t="shared" si="6"/>
        <v>1</v>
      </c>
    </row>
    <row r="36" spans="1:27" s="262" customFormat="1" ht="58.5" customHeight="1">
      <c r="A36" s="490">
        <v>34</v>
      </c>
      <c r="B36" s="503" t="s">
        <v>370</v>
      </c>
      <c r="C36" s="492" t="s">
        <v>314</v>
      </c>
      <c r="D36" s="503" t="s">
        <v>375</v>
      </c>
      <c r="E36" s="322">
        <v>1214</v>
      </c>
      <c r="F36" s="493" t="s">
        <v>383</v>
      </c>
      <c r="G36" s="504" t="s">
        <v>72</v>
      </c>
      <c r="H36" s="505">
        <v>1.3</v>
      </c>
      <c r="I36" s="506" t="s">
        <v>384</v>
      </c>
      <c r="J36" s="497">
        <v>1642667.02</v>
      </c>
      <c r="K36" s="497">
        <v>821333</v>
      </c>
      <c r="L36" s="497">
        <v>821334.02</v>
      </c>
      <c r="M36" s="498">
        <v>0.5</v>
      </c>
      <c r="N36" s="478"/>
      <c r="O36" s="478"/>
      <c r="P36" s="470"/>
      <c r="Q36" s="481">
        <v>821333</v>
      </c>
      <c r="R36" s="481"/>
      <c r="S36" s="481"/>
      <c r="T36" s="499"/>
      <c r="U36" s="480"/>
      <c r="V36" s="480"/>
      <c r="W36" s="480"/>
      <c r="X36" s="164" t="b">
        <f t="shared" si="3"/>
        <v>1</v>
      </c>
      <c r="Y36" s="165">
        <f t="shared" si="4"/>
        <v>0.5</v>
      </c>
      <c r="Z36" s="166" t="b">
        <f t="shared" si="5"/>
        <v>1</v>
      </c>
      <c r="AA36" s="166" t="b">
        <f t="shared" si="6"/>
        <v>1</v>
      </c>
    </row>
    <row r="37" spans="1:27" s="262" customFormat="1" ht="58.5" customHeight="1">
      <c r="A37" s="490">
        <v>35</v>
      </c>
      <c r="B37" s="503" t="s">
        <v>371</v>
      </c>
      <c r="C37" s="492" t="s">
        <v>314</v>
      </c>
      <c r="D37" s="503" t="s">
        <v>376</v>
      </c>
      <c r="E37" s="322">
        <v>1203</v>
      </c>
      <c r="F37" s="493" t="s">
        <v>385</v>
      </c>
      <c r="G37" s="504" t="s">
        <v>77</v>
      </c>
      <c r="H37" s="505">
        <v>0.858</v>
      </c>
      <c r="I37" s="506" t="s">
        <v>301</v>
      </c>
      <c r="J37" s="497">
        <v>2552286.98</v>
      </c>
      <c r="K37" s="497">
        <v>1276143</v>
      </c>
      <c r="L37" s="497">
        <v>1276143.98</v>
      </c>
      <c r="M37" s="498">
        <v>0.5</v>
      </c>
      <c r="N37" s="478"/>
      <c r="O37" s="478"/>
      <c r="P37" s="470"/>
      <c r="Q37" s="481">
        <v>1276143</v>
      </c>
      <c r="R37" s="481"/>
      <c r="S37" s="507"/>
      <c r="T37" s="499"/>
      <c r="U37" s="480"/>
      <c r="V37" s="480"/>
      <c r="W37" s="480"/>
      <c r="X37" s="164" t="b">
        <f t="shared" si="3"/>
        <v>1</v>
      </c>
      <c r="Y37" s="165">
        <f t="shared" si="4"/>
        <v>0.5</v>
      </c>
      <c r="Z37" s="166" t="b">
        <f t="shared" si="5"/>
        <v>1</v>
      </c>
      <c r="AA37" s="166" t="b">
        <f t="shared" si="6"/>
        <v>1</v>
      </c>
    </row>
    <row r="38" spans="1:27" s="262" customFormat="1" ht="58.5" customHeight="1">
      <c r="A38" s="490">
        <v>36</v>
      </c>
      <c r="B38" s="503" t="s">
        <v>372</v>
      </c>
      <c r="C38" s="492" t="s">
        <v>314</v>
      </c>
      <c r="D38" s="503" t="s">
        <v>377</v>
      </c>
      <c r="E38" s="322">
        <v>1204</v>
      </c>
      <c r="F38" s="493" t="s">
        <v>386</v>
      </c>
      <c r="G38" s="504" t="s">
        <v>74</v>
      </c>
      <c r="H38" s="505">
        <v>1.24</v>
      </c>
      <c r="I38" s="506" t="s">
        <v>301</v>
      </c>
      <c r="J38" s="497">
        <v>5504056.95</v>
      </c>
      <c r="K38" s="497">
        <v>2752028</v>
      </c>
      <c r="L38" s="497">
        <v>2752028.95</v>
      </c>
      <c r="M38" s="498">
        <v>0.5</v>
      </c>
      <c r="N38" s="478"/>
      <c r="O38" s="478"/>
      <c r="P38" s="470"/>
      <c r="Q38" s="481">
        <v>2752028</v>
      </c>
      <c r="R38" s="481"/>
      <c r="S38" s="507"/>
      <c r="T38" s="499"/>
      <c r="U38" s="480"/>
      <c r="V38" s="480"/>
      <c r="W38" s="480"/>
      <c r="X38" s="164" t="b">
        <f t="shared" si="3"/>
        <v>1</v>
      </c>
      <c r="Y38" s="165">
        <f t="shared" si="4"/>
        <v>0.5</v>
      </c>
      <c r="Z38" s="166" t="b">
        <f t="shared" si="5"/>
        <v>1</v>
      </c>
      <c r="AA38" s="166" t="b">
        <f t="shared" si="6"/>
        <v>1</v>
      </c>
    </row>
    <row r="39" spans="1:27" s="262" customFormat="1" ht="58.5" customHeight="1">
      <c r="A39" s="490">
        <v>37</v>
      </c>
      <c r="B39" s="503" t="s">
        <v>373</v>
      </c>
      <c r="C39" s="492" t="s">
        <v>314</v>
      </c>
      <c r="D39" s="503" t="s">
        <v>378</v>
      </c>
      <c r="E39" s="322">
        <v>1217</v>
      </c>
      <c r="F39" s="493" t="s">
        <v>387</v>
      </c>
      <c r="G39" s="504" t="s">
        <v>77</v>
      </c>
      <c r="H39" s="505">
        <v>3.35</v>
      </c>
      <c r="I39" s="506" t="s">
        <v>989</v>
      </c>
      <c r="J39" s="497">
        <v>5519063.11</v>
      </c>
      <c r="K39" s="497">
        <f>INT(J39*M39)</f>
        <v>3863344</v>
      </c>
      <c r="L39" s="497">
        <f>J39-K39</f>
        <v>1655719.1100000003</v>
      </c>
      <c r="M39" s="498">
        <v>0.7</v>
      </c>
      <c r="N39" s="478"/>
      <c r="O39" s="478"/>
      <c r="P39" s="470"/>
      <c r="Q39" s="481">
        <f>K39</f>
        <v>3863344</v>
      </c>
      <c r="R39" s="481"/>
      <c r="S39" s="507"/>
      <c r="T39" s="499"/>
      <c r="U39" s="480"/>
      <c r="V39" s="480"/>
      <c r="W39" s="480"/>
      <c r="X39" s="164" t="b">
        <f t="shared" si="3"/>
        <v>1</v>
      </c>
      <c r="Y39" s="165">
        <f t="shared" si="4"/>
        <v>0.7</v>
      </c>
      <c r="Z39" s="166" t="b">
        <f t="shared" si="5"/>
        <v>1</v>
      </c>
      <c r="AA39" s="166" t="b">
        <f t="shared" si="6"/>
        <v>1</v>
      </c>
    </row>
    <row r="40" spans="1:27" s="262" customFormat="1" ht="58.5" customHeight="1">
      <c r="A40" s="490">
        <v>38</v>
      </c>
      <c r="B40" s="508" t="s">
        <v>895</v>
      </c>
      <c r="C40" s="492" t="s">
        <v>314</v>
      </c>
      <c r="D40" s="327" t="s">
        <v>379</v>
      </c>
      <c r="E40" s="322">
        <v>1208</v>
      </c>
      <c r="F40" s="329" t="s">
        <v>914</v>
      </c>
      <c r="G40" s="330" t="s">
        <v>74</v>
      </c>
      <c r="H40" s="331">
        <v>1.36</v>
      </c>
      <c r="I40" s="508" t="s">
        <v>389</v>
      </c>
      <c r="J40" s="509">
        <v>2025197.32</v>
      </c>
      <c r="K40" s="509">
        <f>INT(J40*M40)</f>
        <v>1417638</v>
      </c>
      <c r="L40" s="509">
        <f>J40-K40</f>
        <v>607559.3200000001</v>
      </c>
      <c r="M40" s="498">
        <v>0.7</v>
      </c>
      <c r="N40" s="510"/>
      <c r="O40" s="510"/>
      <c r="P40" s="321"/>
      <c r="Q40" s="321">
        <f>K40</f>
        <v>1417638</v>
      </c>
      <c r="R40" s="321"/>
      <c r="S40" s="321"/>
      <c r="T40" s="511"/>
      <c r="U40" s="511"/>
      <c r="V40" s="511"/>
      <c r="W40" s="511"/>
      <c r="X40" s="164" t="b">
        <f t="shared" si="3"/>
        <v>1</v>
      </c>
      <c r="Y40" s="165">
        <f t="shared" si="4"/>
        <v>0.7</v>
      </c>
      <c r="Z40" s="166" t="b">
        <f t="shared" si="5"/>
        <v>1</v>
      </c>
      <c r="AA40" s="166" t="b">
        <f t="shared" si="6"/>
        <v>1</v>
      </c>
    </row>
    <row r="41" spans="1:27" s="262" customFormat="1" ht="75" customHeight="1">
      <c r="A41" s="490">
        <v>39</v>
      </c>
      <c r="B41" s="327" t="s">
        <v>896</v>
      </c>
      <c r="C41" s="492" t="s">
        <v>314</v>
      </c>
      <c r="D41" s="327" t="s">
        <v>63</v>
      </c>
      <c r="E41" s="322">
        <v>1209</v>
      </c>
      <c r="F41" s="329" t="s">
        <v>915</v>
      </c>
      <c r="G41" s="330" t="s">
        <v>77</v>
      </c>
      <c r="H41" s="331">
        <v>4.02</v>
      </c>
      <c r="I41" s="327" t="s">
        <v>302</v>
      </c>
      <c r="J41" s="509">
        <v>3893332</v>
      </c>
      <c r="K41" s="509">
        <f>INT(J41*M41)</f>
        <v>2725332</v>
      </c>
      <c r="L41" s="509">
        <f>J41-K41</f>
        <v>1168000</v>
      </c>
      <c r="M41" s="498">
        <v>0.7</v>
      </c>
      <c r="N41" s="510"/>
      <c r="O41" s="510"/>
      <c r="P41" s="321"/>
      <c r="Q41" s="321">
        <f>K41</f>
        <v>2725332</v>
      </c>
      <c r="R41" s="321"/>
      <c r="S41" s="321"/>
      <c r="T41" s="511"/>
      <c r="U41" s="511"/>
      <c r="V41" s="511"/>
      <c r="W41" s="511"/>
      <c r="X41" s="164" t="b">
        <f t="shared" si="3"/>
        <v>1</v>
      </c>
      <c r="Y41" s="165">
        <f t="shared" si="4"/>
        <v>0.7</v>
      </c>
      <c r="Z41" s="166" t="b">
        <f t="shared" si="5"/>
        <v>1</v>
      </c>
      <c r="AA41" s="166" t="b">
        <f t="shared" si="6"/>
        <v>1</v>
      </c>
    </row>
    <row r="42" spans="1:27" s="262" customFormat="1" ht="75" customHeight="1">
      <c r="A42" s="512">
        <v>40</v>
      </c>
      <c r="B42" s="477" t="s">
        <v>892</v>
      </c>
      <c r="C42" s="455" t="s">
        <v>313</v>
      </c>
      <c r="D42" s="477" t="s">
        <v>66</v>
      </c>
      <c r="E42" s="486">
        <v>1219</v>
      </c>
      <c r="F42" s="487" t="s">
        <v>911</v>
      </c>
      <c r="G42" s="501" t="s">
        <v>74</v>
      </c>
      <c r="H42" s="502">
        <v>0.9925</v>
      </c>
      <c r="I42" s="477" t="s">
        <v>978</v>
      </c>
      <c r="J42" s="513">
        <v>3651145.1</v>
      </c>
      <c r="K42" s="513">
        <f>INT(J42*M42)</f>
        <v>2190687</v>
      </c>
      <c r="L42" s="513">
        <f>J42-K42</f>
        <v>1460458.1</v>
      </c>
      <c r="M42" s="468">
        <v>0.6</v>
      </c>
      <c r="N42" s="514"/>
      <c r="O42" s="514"/>
      <c r="P42" s="515"/>
      <c r="Q42" s="515">
        <v>1131126</v>
      </c>
      <c r="R42" s="515">
        <v>1059561</v>
      </c>
      <c r="S42" s="515"/>
      <c r="T42" s="480"/>
      <c r="U42" s="480"/>
      <c r="V42" s="480"/>
      <c r="W42" s="480"/>
      <c r="X42" s="164" t="b">
        <f t="shared" si="3"/>
        <v>1</v>
      </c>
      <c r="Y42" s="165">
        <f t="shared" si="4"/>
        <v>0.6</v>
      </c>
      <c r="Z42" s="166" t="b">
        <f t="shared" si="5"/>
        <v>1</v>
      </c>
      <c r="AA42" s="166" t="b">
        <f t="shared" si="6"/>
        <v>1</v>
      </c>
    </row>
    <row r="43" spans="1:27" s="262" customFormat="1" ht="75" customHeight="1">
      <c r="A43" s="323">
        <v>41</v>
      </c>
      <c r="B43" s="508" t="s">
        <v>921</v>
      </c>
      <c r="C43" s="492" t="s">
        <v>314</v>
      </c>
      <c r="D43" s="327" t="s">
        <v>88</v>
      </c>
      <c r="E43" s="322">
        <v>1216</v>
      </c>
      <c r="F43" s="329" t="s">
        <v>929</v>
      </c>
      <c r="G43" s="330" t="s">
        <v>77</v>
      </c>
      <c r="H43" s="331">
        <v>4.68</v>
      </c>
      <c r="I43" s="327" t="s">
        <v>930</v>
      </c>
      <c r="J43" s="509">
        <v>2786362.39</v>
      </c>
      <c r="K43" s="509">
        <f>INT(J43*M43)</f>
        <v>2229089</v>
      </c>
      <c r="L43" s="509">
        <f>J43-K43</f>
        <v>557273.3900000001</v>
      </c>
      <c r="M43" s="498">
        <v>0.8</v>
      </c>
      <c r="N43" s="510"/>
      <c r="O43" s="510"/>
      <c r="P43" s="321"/>
      <c r="Q43" s="321">
        <f>K43</f>
        <v>2229089</v>
      </c>
      <c r="R43" s="321"/>
      <c r="S43" s="321"/>
      <c r="T43" s="511"/>
      <c r="U43" s="511"/>
      <c r="V43" s="511"/>
      <c r="W43" s="511"/>
      <c r="X43" s="164" t="b">
        <f t="shared" si="3"/>
        <v>1</v>
      </c>
      <c r="Y43" s="165">
        <f t="shared" si="4"/>
        <v>0.8</v>
      </c>
      <c r="Z43" s="166" t="b">
        <f t="shared" si="5"/>
        <v>1</v>
      </c>
      <c r="AA43" s="166" t="b">
        <f t="shared" si="6"/>
        <v>1</v>
      </c>
    </row>
    <row r="44" spans="1:27" s="262" customFormat="1" ht="75" customHeight="1">
      <c r="A44" s="516" t="s">
        <v>991</v>
      </c>
      <c r="B44" s="477" t="s">
        <v>893</v>
      </c>
      <c r="C44" s="455" t="s">
        <v>313</v>
      </c>
      <c r="D44" s="477" t="s">
        <v>69</v>
      </c>
      <c r="E44" s="486">
        <v>1212</v>
      </c>
      <c r="F44" s="487" t="s">
        <v>912</v>
      </c>
      <c r="G44" s="501" t="s">
        <v>77</v>
      </c>
      <c r="H44" s="502">
        <v>5.545</v>
      </c>
      <c r="I44" s="477" t="s">
        <v>357</v>
      </c>
      <c r="J44" s="513">
        <v>8904663.2</v>
      </c>
      <c r="K44" s="517">
        <f>Q44+R44+S44</f>
        <v>3914758.7800000003</v>
      </c>
      <c r="L44" s="513">
        <f>J44-K44</f>
        <v>4989904.419999999</v>
      </c>
      <c r="M44" s="468">
        <v>0.5</v>
      </c>
      <c r="N44" s="514"/>
      <c r="O44" s="514"/>
      <c r="P44" s="515"/>
      <c r="Q44" s="515">
        <v>1484110</v>
      </c>
      <c r="R44" s="518">
        <v>946538.78</v>
      </c>
      <c r="S44" s="515">
        <v>1484110</v>
      </c>
      <c r="T44" s="480"/>
      <c r="U44" s="480"/>
      <c r="V44" s="480"/>
      <c r="W44" s="480"/>
      <c r="X44" s="164" t="b">
        <f t="shared" si="3"/>
        <v>1</v>
      </c>
      <c r="Y44" s="165">
        <f t="shared" si="4"/>
        <v>0.4396</v>
      </c>
      <c r="Z44" s="166" t="b">
        <f t="shared" si="5"/>
        <v>0</v>
      </c>
      <c r="AA44" s="166" t="b">
        <f t="shared" si="6"/>
        <v>1</v>
      </c>
    </row>
    <row r="45" spans="1:27" s="262" customFormat="1" ht="75" customHeight="1">
      <c r="A45" s="323">
        <v>43</v>
      </c>
      <c r="B45" s="327" t="s">
        <v>882</v>
      </c>
      <c r="C45" s="492" t="s">
        <v>314</v>
      </c>
      <c r="D45" s="327" t="s">
        <v>61</v>
      </c>
      <c r="E45" s="322">
        <v>1206</v>
      </c>
      <c r="F45" s="329" t="s">
        <v>897</v>
      </c>
      <c r="G45" s="330" t="s">
        <v>77</v>
      </c>
      <c r="H45" s="331">
        <v>4.048</v>
      </c>
      <c r="I45" s="327" t="s">
        <v>898</v>
      </c>
      <c r="J45" s="509">
        <v>8590500</v>
      </c>
      <c r="K45" s="509">
        <v>4295250</v>
      </c>
      <c r="L45" s="509">
        <v>4295250</v>
      </c>
      <c r="M45" s="498">
        <v>0.5</v>
      </c>
      <c r="N45" s="510"/>
      <c r="O45" s="510"/>
      <c r="P45" s="321"/>
      <c r="Q45" s="321">
        <v>4295250</v>
      </c>
      <c r="R45" s="321"/>
      <c r="S45" s="321"/>
      <c r="T45" s="511"/>
      <c r="U45" s="511"/>
      <c r="V45" s="511"/>
      <c r="W45" s="511"/>
      <c r="X45" s="164" t="b">
        <f t="shared" si="3"/>
        <v>1</v>
      </c>
      <c r="Y45" s="165">
        <f t="shared" si="4"/>
        <v>0.5</v>
      </c>
      <c r="Z45" s="166" t="b">
        <f t="shared" si="5"/>
        <v>1</v>
      </c>
      <c r="AA45" s="166" t="b">
        <f t="shared" si="6"/>
        <v>1</v>
      </c>
    </row>
    <row r="46" spans="1:27" s="262" customFormat="1" ht="75" customHeight="1">
      <c r="A46" s="323">
        <v>44</v>
      </c>
      <c r="B46" s="327" t="s">
        <v>885</v>
      </c>
      <c r="C46" s="492" t="s">
        <v>314</v>
      </c>
      <c r="D46" s="327" t="s">
        <v>336</v>
      </c>
      <c r="E46" s="322">
        <v>1205</v>
      </c>
      <c r="F46" s="329" t="s">
        <v>901</v>
      </c>
      <c r="G46" s="330" t="s">
        <v>72</v>
      </c>
      <c r="H46" s="331">
        <v>0.032</v>
      </c>
      <c r="I46" s="327" t="s">
        <v>333</v>
      </c>
      <c r="J46" s="509">
        <v>2282294.31</v>
      </c>
      <c r="K46" s="509">
        <f>INT(J46*M46)</f>
        <v>1825835</v>
      </c>
      <c r="L46" s="509">
        <f>J46-K46</f>
        <v>456459.31000000006</v>
      </c>
      <c r="M46" s="498">
        <v>0.8</v>
      </c>
      <c r="N46" s="510"/>
      <c r="O46" s="510"/>
      <c r="P46" s="321"/>
      <c r="Q46" s="321">
        <f>K46</f>
        <v>1825835</v>
      </c>
      <c r="R46" s="321"/>
      <c r="S46" s="321"/>
      <c r="T46" s="511"/>
      <c r="U46" s="511"/>
      <c r="V46" s="511"/>
      <c r="W46" s="511"/>
      <c r="X46" s="164" t="b">
        <f t="shared" si="3"/>
        <v>1</v>
      </c>
      <c r="Y46" s="165">
        <f t="shared" si="4"/>
        <v>0.8</v>
      </c>
      <c r="Z46" s="166" t="b">
        <f t="shared" si="5"/>
        <v>1</v>
      </c>
      <c r="AA46" s="166" t="b">
        <f t="shared" si="6"/>
        <v>1</v>
      </c>
    </row>
    <row r="47" spans="1:27" s="262" customFormat="1" ht="133.5" customHeight="1">
      <c r="A47" s="519">
        <v>45</v>
      </c>
      <c r="B47" s="508" t="s">
        <v>374</v>
      </c>
      <c r="C47" s="492" t="s">
        <v>314</v>
      </c>
      <c r="D47" s="503" t="s">
        <v>379</v>
      </c>
      <c r="E47" s="322">
        <v>1208</v>
      </c>
      <c r="F47" s="493" t="s">
        <v>388</v>
      </c>
      <c r="G47" s="504" t="s">
        <v>74</v>
      </c>
      <c r="H47" s="505">
        <v>2</v>
      </c>
      <c r="I47" s="508" t="s">
        <v>389</v>
      </c>
      <c r="J47" s="497">
        <v>5412853.51</v>
      </c>
      <c r="K47" s="497">
        <f>INT(J47*M47)</f>
        <v>2706426</v>
      </c>
      <c r="L47" s="497">
        <f>J47-K47</f>
        <v>2706427.51</v>
      </c>
      <c r="M47" s="498">
        <v>0.5</v>
      </c>
      <c r="N47" s="478"/>
      <c r="O47" s="478"/>
      <c r="P47" s="470"/>
      <c r="Q47" s="481">
        <f>K47</f>
        <v>2706426</v>
      </c>
      <c r="R47" s="481"/>
      <c r="S47" s="507"/>
      <c r="T47" s="499"/>
      <c r="U47" s="480"/>
      <c r="V47" s="480"/>
      <c r="W47" s="480"/>
      <c r="X47" s="164" t="b">
        <f t="shared" si="3"/>
        <v>1</v>
      </c>
      <c r="Y47" s="165">
        <f t="shared" si="4"/>
        <v>0.5</v>
      </c>
      <c r="Z47" s="166" t="b">
        <f t="shared" si="5"/>
        <v>1</v>
      </c>
      <c r="AA47" s="166" t="b">
        <f t="shared" si="6"/>
        <v>1</v>
      </c>
    </row>
    <row r="48" spans="1:27" s="282" customFormat="1" ht="19.5" customHeight="1">
      <c r="A48" s="409" t="s">
        <v>43</v>
      </c>
      <c r="B48" s="410"/>
      <c r="C48" s="410"/>
      <c r="D48" s="410"/>
      <c r="E48" s="410"/>
      <c r="F48" s="410"/>
      <c r="G48" s="411"/>
      <c r="H48" s="311">
        <f>SUM(H3:H47)</f>
        <v>147.06116000000003</v>
      </c>
      <c r="I48" s="276" t="s">
        <v>14</v>
      </c>
      <c r="J48" s="277">
        <f>SUM(J3:J47)</f>
        <v>340287395.74</v>
      </c>
      <c r="K48" s="278">
        <f>SUM(K3:K47)</f>
        <v>190037155.78</v>
      </c>
      <c r="L48" s="277">
        <f>SUM(L3:L47)</f>
        <v>150250239.95999992</v>
      </c>
      <c r="M48" s="279" t="s">
        <v>14</v>
      </c>
      <c r="N48" s="280">
        <f aca="true" t="shared" si="7" ref="N48:W48">SUM(N3:N47)</f>
        <v>0</v>
      </c>
      <c r="O48" s="280">
        <f t="shared" si="7"/>
        <v>2911251</v>
      </c>
      <c r="P48" s="281">
        <f t="shared" si="7"/>
        <v>50732801</v>
      </c>
      <c r="Q48" s="281">
        <f t="shared" si="7"/>
        <v>89962764</v>
      </c>
      <c r="R48" s="281">
        <f t="shared" si="7"/>
        <v>36151893.78</v>
      </c>
      <c r="S48" s="281">
        <f t="shared" si="7"/>
        <v>8304611</v>
      </c>
      <c r="T48" s="343">
        <f t="shared" si="7"/>
        <v>1973835</v>
      </c>
      <c r="U48" s="281">
        <f t="shared" si="7"/>
        <v>0</v>
      </c>
      <c r="V48" s="281">
        <f t="shared" si="7"/>
        <v>0</v>
      </c>
      <c r="W48" s="281">
        <f t="shared" si="7"/>
        <v>0</v>
      </c>
      <c r="X48" s="260"/>
      <c r="Y48" s="357"/>
      <c r="Z48" s="261"/>
      <c r="AA48" s="261"/>
    </row>
    <row r="49" spans="1:27" s="282" customFormat="1" ht="19.5" customHeight="1">
      <c r="A49" s="405" t="s">
        <v>36</v>
      </c>
      <c r="B49" s="405"/>
      <c r="C49" s="405"/>
      <c r="D49" s="405"/>
      <c r="E49" s="405"/>
      <c r="F49" s="405"/>
      <c r="G49" s="405"/>
      <c r="H49" s="312">
        <f>SUMIF($C$3:$C$47,"K",H3:H47)</f>
        <v>77.69000000000001</v>
      </c>
      <c r="I49" s="283" t="s">
        <v>14</v>
      </c>
      <c r="J49" s="284">
        <f>SUMIF($C$3:$C$47,"K",J3:J47)</f>
        <v>195078919.75</v>
      </c>
      <c r="K49" s="285">
        <f>SUMIF($C$3:$C$47,"K",K3:K47)</f>
        <v>110474389</v>
      </c>
      <c r="L49" s="284">
        <f>SUMIF($C$3:$C$47,"K",L3:L47)</f>
        <v>84604530.74999997</v>
      </c>
      <c r="M49" s="286" t="s">
        <v>14</v>
      </c>
      <c r="N49" s="287">
        <f aca="true" t="shared" si="8" ref="N49:W49">SUMIF($C$3:$C$47,"K",N3:N47)</f>
        <v>0</v>
      </c>
      <c r="O49" s="287">
        <f t="shared" si="8"/>
        <v>2911251</v>
      </c>
      <c r="P49" s="288">
        <f t="shared" si="8"/>
        <v>50732801</v>
      </c>
      <c r="Q49" s="288">
        <f t="shared" si="8"/>
        <v>33584455</v>
      </c>
      <c r="R49" s="288">
        <f t="shared" si="8"/>
        <v>23245882</v>
      </c>
      <c r="S49" s="288">
        <f t="shared" si="8"/>
        <v>0</v>
      </c>
      <c r="T49" s="288">
        <f t="shared" si="8"/>
        <v>0</v>
      </c>
      <c r="U49" s="288">
        <f t="shared" si="8"/>
        <v>0</v>
      </c>
      <c r="V49" s="288">
        <f t="shared" si="8"/>
        <v>0</v>
      </c>
      <c r="W49" s="288">
        <f t="shared" si="8"/>
        <v>0</v>
      </c>
      <c r="X49" s="358"/>
      <c r="Y49" s="359"/>
      <c r="Z49" s="360"/>
      <c r="AA49" s="360"/>
    </row>
    <row r="50" spans="1:27" s="282" customFormat="1" ht="19.5" customHeight="1">
      <c r="A50" s="408" t="s">
        <v>37</v>
      </c>
      <c r="B50" s="408"/>
      <c r="C50" s="408"/>
      <c r="D50" s="408"/>
      <c r="E50" s="408"/>
      <c r="F50" s="408"/>
      <c r="G50" s="408"/>
      <c r="H50" s="311">
        <f>SUMIF($C$3:$C$47,"N",H3:H47)</f>
        <v>27.510499999999997</v>
      </c>
      <c r="I50" s="276" t="s">
        <v>14</v>
      </c>
      <c r="J50" s="277">
        <f>SUMIF($C$3:$C$47,"N",J3:J47)</f>
        <v>50589066.73</v>
      </c>
      <c r="K50" s="278">
        <f>SUMIF($C$3:$C$47,"N",K3:K47)</f>
        <v>29102643</v>
      </c>
      <c r="L50" s="277">
        <f>SUMIF($C$3:$C$47,"N",L3:L47)</f>
        <v>21486423.729999997</v>
      </c>
      <c r="M50" s="279" t="s">
        <v>14</v>
      </c>
      <c r="N50" s="280">
        <f aca="true" t="shared" si="9" ref="N50:W50">SUMIF($C$3:$C$47,"N",N3:N47)</f>
        <v>0</v>
      </c>
      <c r="O50" s="280">
        <f t="shared" si="9"/>
        <v>0</v>
      </c>
      <c r="P50" s="281">
        <f t="shared" si="9"/>
        <v>0</v>
      </c>
      <c r="Q50" s="281">
        <f t="shared" si="9"/>
        <v>29102643</v>
      </c>
      <c r="R50" s="281">
        <f t="shared" si="9"/>
        <v>0</v>
      </c>
      <c r="S50" s="281">
        <f t="shared" si="9"/>
        <v>0</v>
      </c>
      <c r="T50" s="281">
        <f t="shared" si="9"/>
        <v>0</v>
      </c>
      <c r="U50" s="281">
        <f t="shared" si="9"/>
        <v>0</v>
      </c>
      <c r="V50" s="281">
        <f t="shared" si="9"/>
        <v>0</v>
      </c>
      <c r="W50" s="281">
        <f t="shared" si="9"/>
        <v>0</v>
      </c>
      <c r="X50" s="358"/>
      <c r="Y50" s="359"/>
      <c r="Z50" s="360"/>
      <c r="AA50" s="360"/>
    </row>
    <row r="51" spans="1:27" s="282" customFormat="1" ht="19.5" customHeight="1">
      <c r="A51" s="405" t="s">
        <v>38</v>
      </c>
      <c r="B51" s="405"/>
      <c r="C51" s="405"/>
      <c r="D51" s="405"/>
      <c r="E51" s="405"/>
      <c r="F51" s="405"/>
      <c r="G51" s="405"/>
      <c r="H51" s="312">
        <f>SUMIF($C$3:$C$47,"W",H3:H47)</f>
        <v>41.860659999999996</v>
      </c>
      <c r="I51" s="283" t="s">
        <v>14</v>
      </c>
      <c r="J51" s="284">
        <f>SUMIF($C$3:$C$47,"W",J3:J47)</f>
        <v>94619409.25999999</v>
      </c>
      <c r="K51" s="285">
        <f>SUMIF($C$3:$C$47,"W",K3:K47)</f>
        <v>50460123.78</v>
      </c>
      <c r="L51" s="287">
        <f>SUMIF($C$3:$C$47,"W",L3:L47)</f>
        <v>44159285.480000004</v>
      </c>
      <c r="M51" s="286" t="s">
        <v>14</v>
      </c>
      <c r="N51" s="287">
        <f aca="true" t="shared" si="10" ref="N51:W51">SUMIF($C$3:$C$47,"W",N3:N47)</f>
        <v>0</v>
      </c>
      <c r="O51" s="287">
        <f t="shared" si="10"/>
        <v>0</v>
      </c>
      <c r="P51" s="288">
        <f t="shared" si="10"/>
        <v>0</v>
      </c>
      <c r="Q51" s="288">
        <f t="shared" si="10"/>
        <v>27275666</v>
      </c>
      <c r="R51" s="288">
        <f t="shared" si="10"/>
        <v>12906011.78</v>
      </c>
      <c r="S51" s="288">
        <f t="shared" si="10"/>
        <v>8304611</v>
      </c>
      <c r="T51" s="344">
        <f t="shared" si="10"/>
        <v>1973835</v>
      </c>
      <c r="U51" s="288">
        <f t="shared" si="10"/>
        <v>0</v>
      </c>
      <c r="V51" s="288">
        <f t="shared" si="10"/>
        <v>0</v>
      </c>
      <c r="W51" s="288">
        <f t="shared" si="10"/>
        <v>0</v>
      </c>
      <c r="X51" s="358"/>
      <c r="Y51" s="359"/>
      <c r="Z51" s="360"/>
      <c r="AA51" s="360"/>
    </row>
    <row r="52" spans="2:24" ht="12.75">
      <c r="B52" s="130"/>
      <c r="D52" s="169"/>
      <c r="E52" s="129"/>
      <c r="F52" s="129"/>
      <c r="H52" s="275"/>
      <c r="I52" s="275"/>
      <c r="J52" s="275"/>
      <c r="K52" s="275"/>
      <c r="L52" s="213"/>
      <c r="M52" s="318"/>
      <c r="N52" s="151"/>
      <c r="O52" s="151"/>
      <c r="P52" s="151"/>
      <c r="Q52" s="319"/>
      <c r="X52" s="361"/>
    </row>
    <row r="53" spans="1:27" ht="12">
      <c r="A53" s="132" t="s">
        <v>24</v>
      </c>
      <c r="B53" s="133"/>
      <c r="C53" s="134"/>
      <c r="D53" s="170"/>
      <c r="E53" s="132"/>
      <c r="F53" s="132"/>
      <c r="G53" s="150"/>
      <c r="I53" s="14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46"/>
      <c r="U53" s="246"/>
      <c r="V53" s="246"/>
      <c r="W53" s="246"/>
      <c r="X53" s="362"/>
      <c r="AA53" s="364"/>
    </row>
    <row r="54" spans="1:24" ht="12">
      <c r="A54" s="135" t="s">
        <v>25</v>
      </c>
      <c r="B54" s="136"/>
      <c r="C54" s="134"/>
      <c r="D54" s="134"/>
      <c r="E54" s="135"/>
      <c r="F54" s="135"/>
      <c r="G54" s="150"/>
      <c r="I54" s="14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345"/>
      <c r="U54" s="211"/>
      <c r="V54" s="211"/>
      <c r="W54" s="211"/>
      <c r="X54" s="362"/>
    </row>
    <row r="55" spans="1:19" ht="12">
      <c r="A55" s="132" t="s">
        <v>41</v>
      </c>
      <c r="B55" s="130"/>
      <c r="D55" s="169"/>
      <c r="E55" s="129"/>
      <c r="F55" s="129"/>
      <c r="J55" s="212"/>
      <c r="K55" s="212"/>
      <c r="L55" s="212"/>
      <c r="M55" s="212"/>
      <c r="N55" s="212"/>
      <c r="O55" s="212"/>
      <c r="P55" s="212"/>
      <c r="Q55" s="212"/>
      <c r="R55" s="212"/>
      <c r="S55" s="212"/>
    </row>
    <row r="56" spans="1:10" ht="12.75">
      <c r="A56" s="137" t="s">
        <v>239</v>
      </c>
      <c r="B56" s="138"/>
      <c r="D56" s="171"/>
      <c r="E56" s="137"/>
      <c r="F56" s="137"/>
      <c r="J56" s="212"/>
    </row>
    <row r="58" spans="15:17" ht="12.75">
      <c r="O58" s="186"/>
      <c r="P58" s="186"/>
      <c r="Q58" s="186"/>
    </row>
    <row r="59" spans="9:17" ht="12.75">
      <c r="I59" s="247"/>
      <c r="J59" s="248"/>
      <c r="K59" s="249"/>
      <c r="L59" s="250"/>
      <c r="M59" s="245"/>
      <c r="O59" s="186"/>
      <c r="P59" s="190"/>
      <c r="Q59" s="187"/>
    </row>
    <row r="60" spans="9:18" ht="12.75">
      <c r="I60" s="251"/>
      <c r="J60" s="252"/>
      <c r="K60" s="249"/>
      <c r="L60" s="250"/>
      <c r="O60" s="186"/>
      <c r="P60" s="188"/>
      <c r="Q60" s="187"/>
      <c r="R60" s="158"/>
    </row>
    <row r="61" spans="9:17" ht="12.75">
      <c r="I61" s="247"/>
      <c r="J61" s="212"/>
      <c r="K61" s="258"/>
      <c r="L61" s="254"/>
      <c r="O61" s="186"/>
      <c r="P61" s="186"/>
      <c r="Q61" s="186"/>
    </row>
    <row r="62" spans="9:23" ht="12.75">
      <c r="I62" s="247"/>
      <c r="J62" s="212"/>
      <c r="K62" s="257"/>
      <c r="L62" s="254"/>
      <c r="O62" s="186"/>
      <c r="P62" s="189"/>
      <c r="Q62" s="187"/>
      <c r="V62" s="158"/>
      <c r="W62" s="158"/>
    </row>
    <row r="63" spans="9:17" ht="12.75">
      <c r="I63" s="247"/>
      <c r="J63" s="212"/>
      <c r="K63" s="253"/>
      <c r="L63" s="250"/>
      <c r="O63" s="186"/>
      <c r="P63" s="186"/>
      <c r="Q63" s="186"/>
    </row>
    <row r="64" spans="9:17" ht="12.75">
      <c r="I64" s="247"/>
      <c r="J64" s="212"/>
      <c r="K64" s="248"/>
      <c r="L64" s="255"/>
      <c r="O64" s="186"/>
      <c r="P64" s="191"/>
      <c r="Q64" s="190"/>
    </row>
    <row r="65" spans="9:17" ht="12.75">
      <c r="I65" s="247"/>
      <c r="J65" s="212"/>
      <c r="K65" s="258"/>
      <c r="L65" s="255"/>
      <c r="O65" s="186"/>
      <c r="P65" s="190"/>
      <c r="Q65" s="189"/>
    </row>
    <row r="66" spans="9:16" ht="12.75">
      <c r="I66" s="247"/>
      <c r="J66" s="212"/>
      <c r="K66" s="256"/>
      <c r="L66" s="255"/>
      <c r="N66" s="161"/>
      <c r="P66" s="161"/>
    </row>
    <row r="67" spans="11:17" ht="12.75">
      <c r="K67" s="244"/>
      <c r="O67" s="161"/>
      <c r="Q67" s="192"/>
    </row>
    <row r="68" ht="12.75">
      <c r="K68" s="244"/>
    </row>
    <row r="70" ht="12.75">
      <c r="K70" s="244"/>
    </row>
    <row r="71" spans="11:17" ht="12.75">
      <c r="K71" s="244"/>
      <c r="Q71" s="161"/>
    </row>
    <row r="76" ht="12.75">
      <c r="N76" s="161">
        <f>K18-P18-Q18-R18</f>
        <v>0</v>
      </c>
    </row>
  </sheetData>
  <sheetProtection formatCells="0" formatColumns="0" formatRows="0"/>
  <protectedRanges>
    <protectedRange sqref="B5:B17" name="Rozstęp1_1_3_3"/>
    <protectedRange sqref="D5:E17" name="Rozstęp1_1_4_6"/>
    <protectedRange sqref="B18" name="Rozstęp1_1_6_2"/>
    <protectedRange sqref="D18:E18" name="Rozstęp1_1_7_2"/>
    <protectedRange sqref="F18:H18" name="Rozstęp1_1_8_2"/>
    <protectedRange sqref="B3" name="Rozstęp1_9_2"/>
    <protectedRange sqref="D3" name="Rozstęp1_1_2_2"/>
    <protectedRange sqref="E3" name="Rozstęp1_2_2_2"/>
    <protectedRange sqref="F3:H3" name="Rozstęp1_3_4_2"/>
    <protectedRange sqref="I3" name="Rozstęp1_4_2_2"/>
    <protectedRange sqref="B4" name="Rozstęp1_10_2"/>
    <protectedRange sqref="D4" name="Rozstęp1_1_9_6"/>
    <protectedRange sqref="E4" name="Rozstęp1_2_3_2"/>
    <protectedRange sqref="F4:H4" name="Rozstęp1_3_5_2"/>
    <protectedRange sqref="I4" name="Rozstęp1_4_4_2"/>
    <protectedRange sqref="F13" name="Rozstęp1_1_12_3"/>
    <protectedRange sqref="B19" name="Rozstęp1_1_4_1_3"/>
    <protectedRange sqref="D19:E19" name="Rozstęp1_1_9_1_2"/>
    <protectedRange sqref="F19:H19" name="Rozstęp1_1_11_1_2"/>
    <protectedRange sqref="B20" name="Rozstęp1_1_3_1_2"/>
    <protectedRange sqref="D20:E20" name="Rozstęp1_1_4_1_1_2"/>
    <protectedRange sqref="F20:H20" name="Rozstęp1_1_5_1_1_2"/>
    <protectedRange sqref="I10:I17" name="Rozstęp1_1_5_3_1"/>
    <protectedRange sqref="I18" name="Rozstęp1_1_8_2_1"/>
    <protectedRange sqref="I19" name="Rozstęp1_1_11_1_2_1"/>
    <protectedRange sqref="I20" name="Rozstęp1_1_5_1_1_2_1"/>
    <protectedRange sqref="B21:B23" name="Rozstęp1_1_4"/>
    <protectedRange sqref="D21:E23" name="Rozstęp1_1_9"/>
    <protectedRange sqref="F21:H23" name="Rozstęp1_1_11_2"/>
    <protectedRange sqref="I9" name="Rozstęp1_1_5_3_4"/>
    <protectedRange sqref="I7" name="Rozstęp1_1_5_3_3"/>
    <protectedRange sqref="I21:I23" name="Rozstęp1_4_1"/>
    <protectedRange sqref="B47 B24:B39" name="Rozstęp1_1_2"/>
    <protectedRange sqref="D47 D24:D39" name="Rozstęp1_1_2_1"/>
    <protectedRange sqref="E33:E39 E47 E24:E31" name="Rozstęp1_1_2_3"/>
    <protectedRange sqref="F47:I47 F24:I39" name="Rozstęp1_1_2_4"/>
    <protectedRange sqref="E32" name="Rozstęp1_1"/>
    <protectedRange sqref="B40" name="Rozstęp1_1_2_7"/>
    <protectedRange sqref="D40:E40" name="Rozstęp1_1_2_8"/>
    <protectedRange sqref="F40:I40" name="Rozstęp1_1_2_9"/>
    <protectedRange sqref="B41" name="Rozstęp1_1_2_7_1"/>
    <protectedRange sqref="D41:E41" name="Rozstęp1_1_2_8_1"/>
    <protectedRange sqref="F41:I41" name="Rozstęp1_1_2_9_1"/>
    <protectedRange sqref="B44" name="Rozstęp1_1_2_7_2"/>
    <protectedRange sqref="D44:E44" name="Rozstęp1_1_2_8_2"/>
    <protectedRange sqref="F44:I44" name="Rozstęp1_1_2_9_2"/>
    <protectedRange sqref="B43" name="Rozstęp1_1_2_7_3"/>
    <protectedRange sqref="D43:E43" name="Rozstęp1_1_2_8_3"/>
    <protectedRange sqref="F43:I43" name="Rozstęp1_1_2_9_3"/>
    <protectedRange sqref="B42" name="Rozstęp1_1_2_7_4"/>
    <protectedRange sqref="D42:E42" name="Rozstęp1_1_2_8_4"/>
    <protectedRange sqref="F42:H42" name="Rozstęp1_1_2_9_4"/>
    <protectedRange sqref="I42" name="Rozstęp1_1_2_9_4_1"/>
    <protectedRange sqref="B45" name="Rozstęp1_1_2_7_5"/>
    <protectedRange sqref="D45:E45" name="Rozstęp1_1_2_8_5"/>
    <protectedRange sqref="F45:I45" name="Rozstęp1_1_2_9_5"/>
    <protectedRange sqref="B46" name="Rozstęp1_1_2_7_6"/>
    <protectedRange sqref="D46:E46" name="Rozstęp1_1_2_8_6"/>
    <protectedRange sqref="F46:I46" name="Rozstęp1_1_2_9_6"/>
  </protectedRanges>
  <mergeCells count="18">
    <mergeCell ref="F1:F2"/>
    <mergeCell ref="M1:M2"/>
    <mergeCell ref="N1:W1"/>
    <mergeCell ref="H1:H2"/>
    <mergeCell ref="I1:I2"/>
    <mergeCell ref="J1:J2"/>
    <mergeCell ref="K1:K2"/>
    <mergeCell ref="G1:G2"/>
    <mergeCell ref="A49:G49"/>
    <mergeCell ref="D1:D2"/>
    <mergeCell ref="L1:L2"/>
    <mergeCell ref="A51:G51"/>
    <mergeCell ref="A50:G50"/>
    <mergeCell ref="E1:E2"/>
    <mergeCell ref="A48:G48"/>
    <mergeCell ref="A1:A2"/>
    <mergeCell ref="B1:B2"/>
    <mergeCell ref="C1:C2"/>
  </mergeCells>
  <conditionalFormatting sqref="AA53 X3:AA51">
    <cfRule type="cellIs" priority="52" dxfId="110" operator="equal">
      <formula>FALSE</formula>
    </cfRule>
  </conditionalFormatting>
  <conditionalFormatting sqref="X3:Z51">
    <cfRule type="containsText" priority="50" dxfId="110" operator="containsText" text="fałsz">
      <formula>NOT(ISERROR(SEARCH("fałsz",X3)))</formula>
    </cfRule>
  </conditionalFormatting>
  <dataValidations count="3">
    <dataValidation type="list" allowBlank="1" showInputMessage="1" showErrorMessage="1" sqref="C47 C3:C39">
      <formula1>"N,K,W"</formula1>
    </dataValidation>
    <dataValidation type="list" allowBlank="1" showInputMessage="1" showErrorMessage="1" sqref="C40:C46">
      <formula1>"N,W"</formula1>
    </dataValidation>
    <dataValidation type="list" allowBlank="1" showInputMessage="1" showErrorMessage="1" sqref="G3:G47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0" r:id="rId1"/>
  <headerFooter>
    <oddHeader>&amp;LWojewództwo Małopolskie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6"/>
  <sheetViews>
    <sheetView showGridLines="0" view="pageBreakPreview" zoomScale="85" zoomScaleNormal="85" zoomScaleSheetLayoutView="85" workbookViewId="0" topLeftCell="H1">
      <selection activeCell="AB1" sqref="AB1"/>
    </sheetView>
  </sheetViews>
  <sheetFormatPr defaultColWidth="9.140625" defaultRowHeight="15"/>
  <cols>
    <col min="1" max="1" width="5.421875" style="129" customWidth="1"/>
    <col min="2" max="2" width="12.7109375" style="141" customWidth="1"/>
    <col min="3" max="3" width="10.7109375" style="131" customWidth="1"/>
    <col min="4" max="4" width="15.00390625" style="181" customWidth="1"/>
    <col min="5" max="5" width="9.421875" style="144" customWidth="1"/>
    <col min="6" max="6" width="12.28125" style="141" customWidth="1"/>
    <col min="7" max="7" width="36.8515625" style="141" customWidth="1"/>
    <col min="8" max="8" width="7.57421875" style="151" customWidth="1"/>
    <col min="9" max="9" width="7.8515625" style="144" customWidth="1"/>
    <col min="10" max="10" width="14.140625" style="141" customWidth="1"/>
    <col min="11" max="11" width="18.28125" style="209" customWidth="1"/>
    <col min="12" max="12" width="18.8515625" style="210" customWidth="1"/>
    <col min="13" max="13" width="20.421875" style="210" customWidth="1"/>
    <col min="14" max="14" width="10.140625" style="260" customWidth="1"/>
    <col min="15" max="15" width="15.421875" style="141" customWidth="1"/>
    <col min="16" max="16" width="16.421875" style="129" customWidth="1"/>
    <col min="17" max="17" width="20.00390625" style="129" customWidth="1"/>
    <col min="18" max="18" width="18.7109375" style="149" customWidth="1"/>
    <col min="19" max="19" width="19.7109375" style="155" customWidth="1"/>
    <col min="20" max="20" width="16.8515625" style="155" customWidth="1"/>
    <col min="21" max="21" width="16.7109375" style="129" customWidth="1"/>
    <col min="22" max="22" width="5.7109375" style="129" customWidth="1"/>
    <col min="23" max="23" width="6.140625" style="129" customWidth="1"/>
    <col min="24" max="24" width="5.57421875" style="129" customWidth="1"/>
    <col min="25" max="25" width="10.140625" style="179" customWidth="1"/>
    <col min="26" max="26" width="10.7109375" style="179" customWidth="1"/>
    <col min="27" max="27" width="10.28125" style="179" customWidth="1"/>
    <col min="28" max="28" width="8.8515625" style="149" customWidth="1"/>
    <col min="29" max="29" width="1.7109375" style="151" customWidth="1"/>
    <col min="30" max="16384" width="9.140625" style="141" customWidth="1"/>
  </cols>
  <sheetData>
    <row r="1" spans="1:28" s="151" customFormat="1" ht="33.75" customHeight="1">
      <c r="A1" s="412" t="s">
        <v>4</v>
      </c>
      <c r="B1" s="413" t="s">
        <v>5</v>
      </c>
      <c r="C1" s="414" t="s">
        <v>42</v>
      </c>
      <c r="D1" s="406" t="s">
        <v>6</v>
      </c>
      <c r="E1" s="413" t="s">
        <v>32</v>
      </c>
      <c r="F1" s="406" t="s">
        <v>15</v>
      </c>
      <c r="G1" s="421" t="s">
        <v>7</v>
      </c>
      <c r="H1" s="406" t="s">
        <v>26</v>
      </c>
      <c r="I1" s="421" t="s">
        <v>8</v>
      </c>
      <c r="J1" s="421" t="s">
        <v>27</v>
      </c>
      <c r="K1" s="406" t="s">
        <v>9</v>
      </c>
      <c r="L1" s="421" t="s">
        <v>17</v>
      </c>
      <c r="M1" s="421" t="s">
        <v>13</v>
      </c>
      <c r="N1" s="429" t="s">
        <v>11</v>
      </c>
      <c r="O1" s="431" t="s">
        <v>12</v>
      </c>
      <c r="P1" s="432"/>
      <c r="Q1" s="432"/>
      <c r="R1" s="432"/>
      <c r="S1" s="432"/>
      <c r="T1" s="432"/>
      <c r="U1" s="432"/>
      <c r="V1" s="432"/>
      <c r="W1" s="432"/>
      <c r="X1" s="433"/>
      <c r="Y1" s="179"/>
      <c r="Z1" s="179"/>
      <c r="AA1" s="179"/>
      <c r="AB1" s="149"/>
    </row>
    <row r="2" spans="1:28" s="181" customFormat="1" ht="33" customHeight="1">
      <c r="A2" s="412"/>
      <c r="B2" s="413"/>
      <c r="C2" s="415"/>
      <c r="D2" s="407"/>
      <c r="E2" s="413"/>
      <c r="F2" s="407"/>
      <c r="G2" s="422"/>
      <c r="H2" s="407"/>
      <c r="I2" s="422"/>
      <c r="J2" s="422"/>
      <c r="K2" s="407"/>
      <c r="L2" s="422"/>
      <c r="M2" s="422"/>
      <c r="N2" s="430"/>
      <c r="O2" s="273">
        <v>2019</v>
      </c>
      <c r="P2" s="274">
        <v>2020</v>
      </c>
      <c r="Q2" s="274">
        <v>2021</v>
      </c>
      <c r="R2" s="267">
        <v>2022</v>
      </c>
      <c r="S2" s="274">
        <v>2023</v>
      </c>
      <c r="T2" s="274">
        <v>2024</v>
      </c>
      <c r="U2" s="274">
        <v>2025</v>
      </c>
      <c r="V2" s="274">
        <v>2026</v>
      </c>
      <c r="W2" s="274">
        <v>2027</v>
      </c>
      <c r="X2" s="274">
        <v>2028</v>
      </c>
      <c r="Y2" s="156" t="s">
        <v>28</v>
      </c>
      <c r="Z2" s="156" t="s">
        <v>29</v>
      </c>
      <c r="AA2" s="156" t="s">
        <v>30</v>
      </c>
      <c r="AB2" s="185" t="s">
        <v>31</v>
      </c>
    </row>
    <row r="3" spans="1:28" s="154" customFormat="1" ht="63.75">
      <c r="A3" s="453">
        <v>1</v>
      </c>
      <c r="B3" s="454" t="s">
        <v>209</v>
      </c>
      <c r="C3" s="520" t="s">
        <v>202</v>
      </c>
      <c r="D3" s="521" t="s">
        <v>210</v>
      </c>
      <c r="E3" s="522" t="s">
        <v>211</v>
      </c>
      <c r="F3" s="523" t="s">
        <v>176</v>
      </c>
      <c r="G3" s="524" t="s">
        <v>246</v>
      </c>
      <c r="H3" s="467" t="s">
        <v>72</v>
      </c>
      <c r="I3" s="525">
        <v>0.613</v>
      </c>
      <c r="J3" s="526" t="s">
        <v>212</v>
      </c>
      <c r="K3" s="460">
        <v>2393168.6</v>
      </c>
      <c r="L3" s="460">
        <v>1196584</v>
      </c>
      <c r="M3" s="527">
        <v>1196584.6</v>
      </c>
      <c r="N3" s="468">
        <v>0.5</v>
      </c>
      <c r="O3" s="528">
        <v>108718</v>
      </c>
      <c r="P3" s="463">
        <v>198574</v>
      </c>
      <c r="Q3" s="463">
        <v>476234</v>
      </c>
      <c r="R3" s="463">
        <v>413058</v>
      </c>
      <c r="S3" s="463"/>
      <c r="T3" s="463"/>
      <c r="U3" s="529"/>
      <c r="V3" s="529"/>
      <c r="W3" s="530"/>
      <c r="X3" s="530"/>
      <c r="Y3" s="156" t="b">
        <f aca="true" t="shared" si="0" ref="Y3:Y38">L3=SUM(O3:X3)</f>
        <v>1</v>
      </c>
      <c r="Z3" s="351">
        <f aca="true" t="shared" si="1" ref="Z3:Z8">ROUND(L3/K3,4)</f>
        <v>0.5</v>
      </c>
      <c r="AA3" s="352" t="b">
        <f aca="true" t="shared" si="2" ref="AA3:AA34">Z3=N3</f>
        <v>1</v>
      </c>
      <c r="AB3" s="352" t="b">
        <f aca="true" t="shared" si="3" ref="AB3:AB34">K3=L3+M3</f>
        <v>1</v>
      </c>
    </row>
    <row r="4" spans="1:28" s="154" customFormat="1" ht="76.5">
      <c r="A4" s="453">
        <v>2</v>
      </c>
      <c r="B4" s="454" t="s">
        <v>214</v>
      </c>
      <c r="C4" s="520" t="s">
        <v>202</v>
      </c>
      <c r="D4" s="521" t="s">
        <v>213</v>
      </c>
      <c r="E4" s="523">
        <v>1216162</v>
      </c>
      <c r="F4" s="523" t="s">
        <v>161</v>
      </c>
      <c r="G4" s="524" t="s">
        <v>215</v>
      </c>
      <c r="H4" s="467" t="s">
        <v>72</v>
      </c>
      <c r="I4" s="525">
        <v>0.481</v>
      </c>
      <c r="J4" s="526" t="s">
        <v>216</v>
      </c>
      <c r="K4" s="460">
        <v>2885649.57</v>
      </c>
      <c r="L4" s="460">
        <v>2019953</v>
      </c>
      <c r="M4" s="527">
        <v>865696.5699999998</v>
      </c>
      <c r="N4" s="468">
        <v>0.7</v>
      </c>
      <c r="O4" s="531">
        <v>0</v>
      </c>
      <c r="P4" s="463">
        <v>189851</v>
      </c>
      <c r="Q4" s="463">
        <v>109067</v>
      </c>
      <c r="R4" s="463">
        <v>1721035</v>
      </c>
      <c r="S4" s="463"/>
      <c r="T4" s="463"/>
      <c r="U4" s="529"/>
      <c r="V4" s="529"/>
      <c r="W4" s="530"/>
      <c r="X4" s="530"/>
      <c r="Y4" s="156" t="b">
        <f t="shared" si="0"/>
        <v>1</v>
      </c>
      <c r="Z4" s="351">
        <f t="shared" si="1"/>
        <v>0.7</v>
      </c>
      <c r="AA4" s="352" t="b">
        <f t="shared" si="2"/>
        <v>1</v>
      </c>
      <c r="AB4" s="352" t="b">
        <f t="shared" si="3"/>
        <v>1</v>
      </c>
    </row>
    <row r="5" spans="1:28" s="154" customFormat="1" ht="43.5" customHeight="1">
      <c r="A5" s="453">
        <v>3</v>
      </c>
      <c r="B5" s="454" t="s">
        <v>968</v>
      </c>
      <c r="C5" s="520" t="s">
        <v>202</v>
      </c>
      <c r="D5" s="521" t="s">
        <v>132</v>
      </c>
      <c r="E5" s="523">
        <v>1206113</v>
      </c>
      <c r="F5" s="523" t="s">
        <v>130</v>
      </c>
      <c r="G5" s="524" t="s">
        <v>969</v>
      </c>
      <c r="H5" s="467" t="s">
        <v>72</v>
      </c>
      <c r="I5" s="525">
        <v>0.572</v>
      </c>
      <c r="J5" s="526" t="s">
        <v>217</v>
      </c>
      <c r="K5" s="460">
        <v>2594087.9</v>
      </c>
      <c r="L5" s="460">
        <v>1297043</v>
      </c>
      <c r="M5" s="527">
        <v>1297044.9</v>
      </c>
      <c r="N5" s="468">
        <v>0.5</v>
      </c>
      <c r="O5" s="531">
        <v>0</v>
      </c>
      <c r="P5" s="463">
        <v>600000</v>
      </c>
      <c r="Q5" s="463">
        <v>697043</v>
      </c>
      <c r="R5" s="462">
        <v>0</v>
      </c>
      <c r="S5" s="463"/>
      <c r="T5" s="463"/>
      <c r="U5" s="529"/>
      <c r="V5" s="529"/>
      <c r="W5" s="530"/>
      <c r="X5" s="530"/>
      <c r="Y5" s="156" t="b">
        <f t="shared" si="0"/>
        <v>1</v>
      </c>
      <c r="Z5" s="351">
        <f t="shared" si="1"/>
        <v>0.5</v>
      </c>
      <c r="AA5" s="352" t="b">
        <f t="shared" si="2"/>
        <v>1</v>
      </c>
      <c r="AB5" s="352" t="b">
        <f t="shared" si="3"/>
        <v>1</v>
      </c>
    </row>
    <row r="6" spans="1:28" s="154" customFormat="1" ht="77.25" customHeight="1">
      <c r="A6" s="453">
        <v>4</v>
      </c>
      <c r="B6" s="454" t="s">
        <v>970</v>
      </c>
      <c r="C6" s="520" t="s">
        <v>202</v>
      </c>
      <c r="D6" s="521" t="s">
        <v>971</v>
      </c>
      <c r="E6" s="523">
        <v>1206012</v>
      </c>
      <c r="F6" s="523" t="s">
        <v>130</v>
      </c>
      <c r="G6" s="524" t="s">
        <v>972</v>
      </c>
      <c r="H6" s="467" t="s">
        <v>72</v>
      </c>
      <c r="I6" s="525">
        <v>3.27</v>
      </c>
      <c r="J6" s="526" t="s">
        <v>973</v>
      </c>
      <c r="K6" s="460">
        <v>10195970.84</v>
      </c>
      <c r="L6" s="460">
        <v>7748936</v>
      </c>
      <c r="M6" s="527">
        <v>2447034.84</v>
      </c>
      <c r="N6" s="468">
        <v>0.76</v>
      </c>
      <c r="O6" s="531">
        <v>0</v>
      </c>
      <c r="P6" s="463">
        <v>2627200</v>
      </c>
      <c r="Q6" s="463">
        <v>5121736</v>
      </c>
      <c r="R6" s="462">
        <v>0</v>
      </c>
      <c r="S6" s="463"/>
      <c r="T6" s="463"/>
      <c r="U6" s="529"/>
      <c r="V6" s="529"/>
      <c r="W6" s="530"/>
      <c r="X6" s="530"/>
      <c r="Y6" s="156" t="b">
        <f t="shared" si="0"/>
        <v>1</v>
      </c>
      <c r="Z6" s="351">
        <f t="shared" si="1"/>
        <v>0.76</v>
      </c>
      <c r="AA6" s="352" t="b">
        <f t="shared" si="2"/>
        <v>1</v>
      </c>
      <c r="AB6" s="352" t="b">
        <f t="shared" si="3"/>
        <v>1</v>
      </c>
    </row>
    <row r="7" spans="1:28" s="154" customFormat="1" ht="38.25">
      <c r="A7" s="453">
        <v>5</v>
      </c>
      <c r="B7" s="454" t="s">
        <v>218</v>
      </c>
      <c r="C7" s="520" t="s">
        <v>202</v>
      </c>
      <c r="D7" s="521" t="s">
        <v>189</v>
      </c>
      <c r="E7" s="523">
        <v>1212073</v>
      </c>
      <c r="F7" s="523" t="s">
        <v>167</v>
      </c>
      <c r="G7" s="524" t="s">
        <v>219</v>
      </c>
      <c r="H7" s="467" t="s">
        <v>72</v>
      </c>
      <c r="I7" s="525">
        <v>1.28</v>
      </c>
      <c r="J7" s="526" t="s">
        <v>236</v>
      </c>
      <c r="K7" s="460">
        <v>4118289.5</v>
      </c>
      <c r="L7" s="460">
        <v>2059144</v>
      </c>
      <c r="M7" s="527">
        <v>2059145.5</v>
      </c>
      <c r="N7" s="468">
        <v>0.5</v>
      </c>
      <c r="O7" s="531">
        <v>0</v>
      </c>
      <c r="P7" s="463">
        <v>50000</v>
      </c>
      <c r="Q7" s="463">
        <v>1500000</v>
      </c>
      <c r="R7" s="463">
        <v>509144</v>
      </c>
      <c r="S7" s="463"/>
      <c r="T7" s="463"/>
      <c r="U7" s="529"/>
      <c r="V7" s="529"/>
      <c r="W7" s="530"/>
      <c r="X7" s="530"/>
      <c r="Y7" s="156" t="b">
        <f t="shared" si="0"/>
        <v>1</v>
      </c>
      <c r="Z7" s="351">
        <f t="shared" si="1"/>
        <v>0.5</v>
      </c>
      <c r="AA7" s="352" t="b">
        <f t="shared" si="2"/>
        <v>1</v>
      </c>
      <c r="AB7" s="352" t="b">
        <f t="shared" si="3"/>
        <v>1</v>
      </c>
    </row>
    <row r="8" spans="1:28" s="154" customFormat="1" ht="89.25">
      <c r="A8" s="453">
        <v>6</v>
      </c>
      <c r="B8" s="454" t="s">
        <v>220</v>
      </c>
      <c r="C8" s="520" t="s">
        <v>202</v>
      </c>
      <c r="D8" s="521" t="s">
        <v>221</v>
      </c>
      <c r="E8" s="523">
        <v>1213043</v>
      </c>
      <c r="F8" s="523" t="s">
        <v>142</v>
      </c>
      <c r="G8" s="524" t="s">
        <v>222</v>
      </c>
      <c r="H8" s="467" t="s">
        <v>72</v>
      </c>
      <c r="I8" s="525">
        <v>0.475</v>
      </c>
      <c r="J8" s="526" t="s">
        <v>235</v>
      </c>
      <c r="K8" s="460">
        <v>9662412.47</v>
      </c>
      <c r="L8" s="460">
        <v>4831206</v>
      </c>
      <c r="M8" s="527">
        <v>4831206.47</v>
      </c>
      <c r="N8" s="468">
        <v>0.5</v>
      </c>
      <c r="O8" s="531">
        <v>0</v>
      </c>
      <c r="P8" s="463">
        <v>141628</v>
      </c>
      <c r="Q8" s="463">
        <v>2763146</v>
      </c>
      <c r="R8" s="463">
        <v>1926432</v>
      </c>
      <c r="S8" s="463"/>
      <c r="T8" s="532"/>
      <c r="U8" s="529"/>
      <c r="V8" s="529"/>
      <c r="W8" s="530"/>
      <c r="X8" s="530"/>
      <c r="Y8" s="156" t="b">
        <f t="shared" si="0"/>
        <v>1</v>
      </c>
      <c r="Z8" s="351">
        <f t="shared" si="1"/>
        <v>0.5</v>
      </c>
      <c r="AA8" s="352" t="b">
        <f t="shared" si="2"/>
        <v>1</v>
      </c>
      <c r="AB8" s="352" t="b">
        <f t="shared" si="3"/>
        <v>1</v>
      </c>
    </row>
    <row r="9" spans="1:28" s="154" customFormat="1" ht="76.5">
      <c r="A9" s="453">
        <v>7</v>
      </c>
      <c r="B9" s="454" t="s">
        <v>223</v>
      </c>
      <c r="C9" s="520" t="s">
        <v>202</v>
      </c>
      <c r="D9" s="521" t="s">
        <v>224</v>
      </c>
      <c r="E9" s="523">
        <v>1205023</v>
      </c>
      <c r="F9" s="523" t="s">
        <v>154</v>
      </c>
      <c r="G9" s="524" t="s">
        <v>225</v>
      </c>
      <c r="H9" s="467" t="s">
        <v>74</v>
      </c>
      <c r="I9" s="525">
        <v>0.252</v>
      </c>
      <c r="J9" s="526" t="s">
        <v>226</v>
      </c>
      <c r="K9" s="460">
        <v>2458551.52</v>
      </c>
      <c r="L9" s="460">
        <v>1719552</v>
      </c>
      <c r="M9" s="527">
        <v>738999.52</v>
      </c>
      <c r="N9" s="461">
        <v>0.7</v>
      </c>
      <c r="O9" s="531">
        <v>0</v>
      </c>
      <c r="P9" s="463">
        <v>350000</v>
      </c>
      <c r="Q9" s="463">
        <v>350000</v>
      </c>
      <c r="R9" s="463">
        <v>1019552</v>
      </c>
      <c r="S9" s="463"/>
      <c r="T9" s="533"/>
      <c r="U9" s="529"/>
      <c r="V9" s="529"/>
      <c r="W9" s="530"/>
      <c r="X9" s="530"/>
      <c r="Y9" s="156" t="b">
        <f t="shared" si="0"/>
        <v>1</v>
      </c>
      <c r="Z9" s="351">
        <f>ROUNDUP(L9/K9,2)</f>
        <v>0.7</v>
      </c>
      <c r="AA9" s="352" t="b">
        <f t="shared" si="2"/>
        <v>1</v>
      </c>
      <c r="AB9" s="352" t="b">
        <f t="shared" si="3"/>
        <v>1</v>
      </c>
    </row>
    <row r="10" spans="1:28" s="154" customFormat="1" ht="38.25">
      <c r="A10" s="453">
        <v>8</v>
      </c>
      <c r="B10" s="454" t="s">
        <v>227</v>
      </c>
      <c r="C10" s="520" t="s">
        <v>202</v>
      </c>
      <c r="D10" s="521" t="s">
        <v>132</v>
      </c>
      <c r="E10" s="523">
        <v>1206113</v>
      </c>
      <c r="F10" s="523" t="s">
        <v>130</v>
      </c>
      <c r="G10" s="524" t="s">
        <v>228</v>
      </c>
      <c r="H10" s="467" t="s">
        <v>72</v>
      </c>
      <c r="I10" s="525">
        <v>0.362</v>
      </c>
      <c r="J10" s="526" t="s">
        <v>237</v>
      </c>
      <c r="K10" s="460">
        <v>1384470.03</v>
      </c>
      <c r="L10" s="460">
        <v>692235</v>
      </c>
      <c r="M10" s="527">
        <v>692235.03</v>
      </c>
      <c r="N10" s="468">
        <v>0.5</v>
      </c>
      <c r="O10" s="531">
        <v>0</v>
      </c>
      <c r="P10" s="463">
        <v>305</v>
      </c>
      <c r="Q10" s="463">
        <v>450000</v>
      </c>
      <c r="R10" s="463">
        <v>241930</v>
      </c>
      <c r="S10" s="463"/>
      <c r="T10" s="463"/>
      <c r="U10" s="529"/>
      <c r="V10" s="529"/>
      <c r="W10" s="530"/>
      <c r="X10" s="530"/>
      <c r="Y10" s="156" t="b">
        <f t="shared" si="0"/>
        <v>1</v>
      </c>
      <c r="Z10" s="351">
        <f aca="true" t="shared" si="4" ref="Z10:Z20">ROUND(L10/K10,4)</f>
        <v>0.5</v>
      </c>
      <c r="AA10" s="352" t="b">
        <f t="shared" si="2"/>
        <v>1</v>
      </c>
      <c r="AB10" s="352" t="b">
        <f t="shared" si="3"/>
        <v>1</v>
      </c>
    </row>
    <row r="11" spans="1:28" s="154" customFormat="1" ht="38.25">
      <c r="A11" s="453">
        <v>9</v>
      </c>
      <c r="B11" s="454" t="s">
        <v>229</v>
      </c>
      <c r="C11" s="520" t="s">
        <v>202</v>
      </c>
      <c r="D11" s="521" t="s">
        <v>224</v>
      </c>
      <c r="E11" s="523">
        <v>1205023</v>
      </c>
      <c r="F11" s="523" t="s">
        <v>154</v>
      </c>
      <c r="G11" s="524" t="s">
        <v>230</v>
      </c>
      <c r="H11" s="467" t="s">
        <v>74</v>
      </c>
      <c r="I11" s="525">
        <v>1.302</v>
      </c>
      <c r="J11" s="526" t="s">
        <v>226</v>
      </c>
      <c r="K11" s="460">
        <v>3092023.71</v>
      </c>
      <c r="L11" s="460">
        <v>2164416</v>
      </c>
      <c r="M11" s="527">
        <v>927607.71</v>
      </c>
      <c r="N11" s="468">
        <v>0.7</v>
      </c>
      <c r="O11" s="531">
        <v>0</v>
      </c>
      <c r="P11" s="463">
        <v>307500</v>
      </c>
      <c r="Q11" s="463">
        <v>1275047</v>
      </c>
      <c r="R11" s="463">
        <v>581869</v>
      </c>
      <c r="S11" s="463"/>
      <c r="T11" s="463"/>
      <c r="U11" s="529"/>
      <c r="V11" s="529"/>
      <c r="W11" s="530"/>
      <c r="X11" s="530"/>
      <c r="Y11" s="156" t="b">
        <f t="shared" si="0"/>
        <v>1</v>
      </c>
      <c r="Z11" s="351">
        <f t="shared" si="4"/>
        <v>0.7</v>
      </c>
      <c r="AA11" s="352" t="b">
        <f t="shared" si="2"/>
        <v>1</v>
      </c>
      <c r="AB11" s="352" t="b">
        <f t="shared" si="3"/>
        <v>1</v>
      </c>
    </row>
    <row r="12" spans="1:28" s="154" customFormat="1" ht="63.75">
      <c r="A12" s="453">
        <v>10</v>
      </c>
      <c r="B12" s="454" t="s">
        <v>231</v>
      </c>
      <c r="C12" s="520" t="s">
        <v>202</v>
      </c>
      <c r="D12" s="521" t="s">
        <v>135</v>
      </c>
      <c r="E12" s="523">
        <v>1211102</v>
      </c>
      <c r="F12" s="523" t="s">
        <v>128</v>
      </c>
      <c r="G12" s="524" t="s">
        <v>232</v>
      </c>
      <c r="H12" s="467" t="s">
        <v>77</v>
      </c>
      <c r="I12" s="525">
        <v>0.855</v>
      </c>
      <c r="J12" s="526" t="s">
        <v>233</v>
      </c>
      <c r="K12" s="460">
        <v>892681.42</v>
      </c>
      <c r="L12" s="460">
        <v>446340</v>
      </c>
      <c r="M12" s="527">
        <v>446341.42000000004</v>
      </c>
      <c r="N12" s="468">
        <v>0.5</v>
      </c>
      <c r="O12" s="531">
        <v>0</v>
      </c>
      <c r="P12" s="463">
        <v>29402</v>
      </c>
      <c r="Q12" s="463">
        <v>82250</v>
      </c>
      <c r="R12" s="463">
        <v>334688</v>
      </c>
      <c r="S12" s="463"/>
      <c r="T12" s="463"/>
      <c r="U12" s="529"/>
      <c r="V12" s="529"/>
      <c r="W12" s="530"/>
      <c r="X12" s="530"/>
      <c r="Y12" s="156" t="b">
        <f t="shared" si="0"/>
        <v>1</v>
      </c>
      <c r="Z12" s="351">
        <f t="shared" si="4"/>
        <v>0.5</v>
      </c>
      <c r="AA12" s="352" t="b">
        <f t="shared" si="2"/>
        <v>1</v>
      </c>
      <c r="AB12" s="352" t="b">
        <f t="shared" si="3"/>
        <v>1</v>
      </c>
    </row>
    <row r="13" spans="1:28" s="154" customFormat="1" ht="51">
      <c r="A13" s="453">
        <v>11</v>
      </c>
      <c r="B13" s="456" t="s">
        <v>97</v>
      </c>
      <c r="C13" s="520" t="s">
        <v>202</v>
      </c>
      <c r="D13" s="522" t="s">
        <v>125</v>
      </c>
      <c r="E13" s="522">
        <v>1209033</v>
      </c>
      <c r="F13" s="522" t="s">
        <v>126</v>
      </c>
      <c r="G13" s="534" t="s">
        <v>127</v>
      </c>
      <c r="H13" s="477" t="s">
        <v>74</v>
      </c>
      <c r="I13" s="535">
        <v>2.507</v>
      </c>
      <c r="J13" s="477" t="s">
        <v>73</v>
      </c>
      <c r="K13" s="460">
        <v>12867000</v>
      </c>
      <c r="L13" s="460">
        <v>9006900</v>
      </c>
      <c r="M13" s="527">
        <v>3860100</v>
      </c>
      <c r="N13" s="468">
        <v>0.7</v>
      </c>
      <c r="O13" s="536">
        <v>0</v>
      </c>
      <c r="P13" s="469">
        <v>0</v>
      </c>
      <c r="Q13" s="463">
        <v>2267284</v>
      </c>
      <c r="R13" s="463">
        <v>1420349</v>
      </c>
      <c r="S13" s="470">
        <v>5319267</v>
      </c>
      <c r="T13" s="470"/>
      <c r="U13" s="529"/>
      <c r="V13" s="529"/>
      <c r="W13" s="530"/>
      <c r="X13" s="530"/>
      <c r="Y13" s="156" t="b">
        <f t="shared" si="0"/>
        <v>1</v>
      </c>
      <c r="Z13" s="351">
        <f t="shared" si="4"/>
        <v>0.7</v>
      </c>
      <c r="AA13" s="352" t="b">
        <f t="shared" si="2"/>
        <v>1</v>
      </c>
      <c r="AB13" s="352" t="b">
        <f t="shared" si="3"/>
        <v>1</v>
      </c>
    </row>
    <row r="14" spans="1:28" s="154" customFormat="1" ht="38.25">
      <c r="A14" s="453">
        <v>12</v>
      </c>
      <c r="B14" s="456" t="s">
        <v>98</v>
      </c>
      <c r="C14" s="520" t="s">
        <v>202</v>
      </c>
      <c r="D14" s="522" t="s">
        <v>129</v>
      </c>
      <c r="E14" s="522">
        <v>1206092</v>
      </c>
      <c r="F14" s="522" t="s">
        <v>130</v>
      </c>
      <c r="G14" s="534" t="s">
        <v>131</v>
      </c>
      <c r="H14" s="477" t="s">
        <v>74</v>
      </c>
      <c r="I14" s="535">
        <v>3.152</v>
      </c>
      <c r="J14" s="477" t="s">
        <v>86</v>
      </c>
      <c r="K14" s="460">
        <v>10000514.77</v>
      </c>
      <c r="L14" s="460">
        <v>5500283</v>
      </c>
      <c r="M14" s="527">
        <v>4500231.77</v>
      </c>
      <c r="N14" s="468">
        <v>0.55</v>
      </c>
      <c r="O14" s="536">
        <v>0</v>
      </c>
      <c r="P14" s="469">
        <v>0</v>
      </c>
      <c r="Q14" s="463">
        <v>2093467</v>
      </c>
      <c r="R14" s="463">
        <v>2906816</v>
      </c>
      <c r="S14" s="470">
        <v>500000</v>
      </c>
      <c r="T14" s="470"/>
      <c r="U14" s="529"/>
      <c r="V14" s="529"/>
      <c r="W14" s="530"/>
      <c r="X14" s="530"/>
      <c r="Y14" s="156" t="b">
        <f t="shared" si="0"/>
        <v>1</v>
      </c>
      <c r="Z14" s="351">
        <f t="shared" si="4"/>
        <v>0.55</v>
      </c>
      <c r="AA14" s="352" t="b">
        <f t="shared" si="2"/>
        <v>1</v>
      </c>
      <c r="AB14" s="352" t="b">
        <f t="shared" si="3"/>
        <v>1</v>
      </c>
    </row>
    <row r="15" spans="1:28" s="154" customFormat="1" ht="63" customHeight="1">
      <c r="A15" s="453">
        <v>13</v>
      </c>
      <c r="B15" s="456" t="s">
        <v>99</v>
      </c>
      <c r="C15" s="520" t="s">
        <v>202</v>
      </c>
      <c r="D15" s="522" t="s">
        <v>132</v>
      </c>
      <c r="E15" s="522">
        <v>1206113</v>
      </c>
      <c r="F15" s="522" t="s">
        <v>130</v>
      </c>
      <c r="G15" s="534" t="s">
        <v>276</v>
      </c>
      <c r="H15" s="477" t="s">
        <v>72</v>
      </c>
      <c r="I15" s="535">
        <v>0.27768</v>
      </c>
      <c r="J15" s="477" t="s">
        <v>217</v>
      </c>
      <c r="K15" s="460">
        <v>1386152.74</v>
      </c>
      <c r="L15" s="460">
        <v>693075</v>
      </c>
      <c r="M15" s="527">
        <v>693077.74</v>
      </c>
      <c r="N15" s="468">
        <v>0.5</v>
      </c>
      <c r="O15" s="536">
        <v>0</v>
      </c>
      <c r="P15" s="469">
        <v>0</v>
      </c>
      <c r="Q15" s="463">
        <v>626869</v>
      </c>
      <c r="R15" s="463">
        <v>66206</v>
      </c>
      <c r="S15" s="470"/>
      <c r="T15" s="470"/>
      <c r="U15" s="529"/>
      <c r="V15" s="529"/>
      <c r="W15" s="530"/>
      <c r="X15" s="530"/>
      <c r="Y15" s="156" t="b">
        <f t="shared" si="0"/>
        <v>1</v>
      </c>
      <c r="Z15" s="351">
        <f t="shared" si="4"/>
        <v>0.5</v>
      </c>
      <c r="AA15" s="352" t="b">
        <f t="shared" si="2"/>
        <v>1</v>
      </c>
      <c r="AB15" s="352" t="b">
        <f t="shared" si="3"/>
        <v>1</v>
      </c>
    </row>
    <row r="16" spans="1:28" s="154" customFormat="1" ht="114.75">
      <c r="A16" s="453">
        <v>14</v>
      </c>
      <c r="B16" s="456" t="s">
        <v>100</v>
      </c>
      <c r="C16" s="520" t="s">
        <v>202</v>
      </c>
      <c r="D16" s="522" t="s">
        <v>133</v>
      </c>
      <c r="E16" s="522">
        <v>1206063</v>
      </c>
      <c r="F16" s="522" t="s">
        <v>130</v>
      </c>
      <c r="G16" s="534" t="s">
        <v>277</v>
      </c>
      <c r="H16" s="477" t="s">
        <v>72</v>
      </c>
      <c r="I16" s="535">
        <v>3.094</v>
      </c>
      <c r="J16" s="477" t="s">
        <v>270</v>
      </c>
      <c r="K16" s="460">
        <v>24440480</v>
      </c>
      <c r="L16" s="460">
        <v>19552384</v>
      </c>
      <c r="M16" s="527">
        <v>4888096</v>
      </c>
      <c r="N16" s="468">
        <v>0.8</v>
      </c>
      <c r="O16" s="536">
        <v>0</v>
      </c>
      <c r="P16" s="469">
        <v>0</v>
      </c>
      <c r="Q16" s="463">
        <v>2184684</v>
      </c>
      <c r="R16" s="463">
        <v>175000</v>
      </c>
      <c r="S16" s="470">
        <v>3280227</v>
      </c>
      <c r="T16" s="470">
        <v>13912473</v>
      </c>
      <c r="U16" s="529"/>
      <c r="V16" s="529"/>
      <c r="W16" s="530"/>
      <c r="X16" s="530"/>
      <c r="Y16" s="156" t="b">
        <f t="shared" si="0"/>
        <v>1</v>
      </c>
      <c r="Z16" s="351">
        <f t="shared" si="4"/>
        <v>0.8</v>
      </c>
      <c r="AA16" s="352" t="b">
        <f t="shared" si="2"/>
        <v>1</v>
      </c>
      <c r="AB16" s="352" t="b">
        <f t="shared" si="3"/>
        <v>1</v>
      </c>
    </row>
    <row r="17" spans="1:28" s="154" customFormat="1" ht="127.5">
      <c r="A17" s="453">
        <v>15</v>
      </c>
      <c r="B17" s="456" t="s">
        <v>101</v>
      </c>
      <c r="C17" s="520" t="s">
        <v>202</v>
      </c>
      <c r="D17" s="522" t="s">
        <v>134</v>
      </c>
      <c r="E17" s="522">
        <v>1211011</v>
      </c>
      <c r="F17" s="522" t="s">
        <v>128</v>
      </c>
      <c r="G17" s="534" t="s">
        <v>278</v>
      </c>
      <c r="H17" s="477" t="s">
        <v>72</v>
      </c>
      <c r="I17" s="535">
        <v>1.14375</v>
      </c>
      <c r="J17" s="477" t="s">
        <v>258</v>
      </c>
      <c r="K17" s="460">
        <v>8494302.68</v>
      </c>
      <c r="L17" s="460">
        <v>4671866</v>
      </c>
      <c r="M17" s="527">
        <v>3822436.6799999997</v>
      </c>
      <c r="N17" s="468">
        <v>0.55</v>
      </c>
      <c r="O17" s="536">
        <v>0</v>
      </c>
      <c r="P17" s="469">
        <v>0</v>
      </c>
      <c r="Q17" s="463">
        <v>800000</v>
      </c>
      <c r="R17" s="463">
        <v>1200000</v>
      </c>
      <c r="S17" s="470">
        <v>2671866</v>
      </c>
      <c r="T17" s="537"/>
      <c r="U17" s="529"/>
      <c r="V17" s="529"/>
      <c r="W17" s="530"/>
      <c r="X17" s="530"/>
      <c r="Y17" s="156" t="b">
        <f t="shared" si="0"/>
        <v>1</v>
      </c>
      <c r="Z17" s="351">
        <f t="shared" si="4"/>
        <v>0.55</v>
      </c>
      <c r="AA17" s="352" t="b">
        <f t="shared" si="2"/>
        <v>1</v>
      </c>
      <c r="AB17" s="352" t="b">
        <f t="shared" si="3"/>
        <v>1</v>
      </c>
    </row>
    <row r="18" spans="1:28" s="154" customFormat="1" ht="114.75">
      <c r="A18" s="453">
        <v>16</v>
      </c>
      <c r="B18" s="456" t="s">
        <v>102</v>
      </c>
      <c r="C18" s="520" t="s">
        <v>202</v>
      </c>
      <c r="D18" s="522" t="s">
        <v>135</v>
      </c>
      <c r="E18" s="522">
        <v>1211102</v>
      </c>
      <c r="F18" s="522" t="s">
        <v>128</v>
      </c>
      <c r="G18" s="534" t="s">
        <v>136</v>
      </c>
      <c r="H18" s="477" t="s">
        <v>72</v>
      </c>
      <c r="I18" s="535">
        <v>0.659</v>
      </c>
      <c r="J18" s="538" t="s">
        <v>272</v>
      </c>
      <c r="K18" s="460">
        <v>12612923.3</v>
      </c>
      <c r="L18" s="460">
        <v>7567750</v>
      </c>
      <c r="M18" s="527">
        <v>5045173.3</v>
      </c>
      <c r="N18" s="468">
        <v>0.6</v>
      </c>
      <c r="O18" s="536">
        <v>0</v>
      </c>
      <c r="P18" s="469">
        <v>0</v>
      </c>
      <c r="Q18" s="463">
        <v>3401626</v>
      </c>
      <c r="R18" s="463">
        <v>825305</v>
      </c>
      <c r="S18" s="470">
        <v>3340819</v>
      </c>
      <c r="T18" s="470"/>
      <c r="U18" s="539"/>
      <c r="V18" s="539"/>
      <c r="W18" s="540"/>
      <c r="X18" s="540"/>
      <c r="Y18" s="156" t="b">
        <f t="shared" si="0"/>
        <v>1</v>
      </c>
      <c r="Z18" s="351">
        <f t="shared" si="4"/>
        <v>0.6</v>
      </c>
      <c r="AA18" s="352" t="b">
        <f t="shared" si="2"/>
        <v>1</v>
      </c>
      <c r="AB18" s="352" t="b">
        <f t="shared" si="3"/>
        <v>1</v>
      </c>
    </row>
    <row r="19" spans="1:28" s="154" customFormat="1" ht="51">
      <c r="A19" s="453">
        <v>17</v>
      </c>
      <c r="B19" s="456" t="s">
        <v>103</v>
      </c>
      <c r="C19" s="520" t="s">
        <v>202</v>
      </c>
      <c r="D19" s="522" t="s">
        <v>132</v>
      </c>
      <c r="E19" s="522">
        <v>1206113</v>
      </c>
      <c r="F19" s="522" t="s">
        <v>130</v>
      </c>
      <c r="G19" s="534" t="s">
        <v>137</v>
      </c>
      <c r="H19" s="477" t="s">
        <v>72</v>
      </c>
      <c r="I19" s="535">
        <v>0.44716</v>
      </c>
      <c r="J19" s="477" t="s">
        <v>255</v>
      </c>
      <c r="K19" s="460">
        <v>6840895.83</v>
      </c>
      <c r="L19" s="460">
        <v>3420447</v>
      </c>
      <c r="M19" s="527">
        <v>3420448.83</v>
      </c>
      <c r="N19" s="468">
        <v>0.5</v>
      </c>
      <c r="O19" s="536">
        <v>0</v>
      </c>
      <c r="P19" s="469">
        <v>0</v>
      </c>
      <c r="Q19" s="463">
        <v>337339</v>
      </c>
      <c r="R19" s="463">
        <v>346956</v>
      </c>
      <c r="S19" s="470">
        <v>2736152</v>
      </c>
      <c r="T19" s="470"/>
      <c r="U19" s="529"/>
      <c r="V19" s="529"/>
      <c r="W19" s="530"/>
      <c r="X19" s="530"/>
      <c r="Y19" s="156" t="b">
        <f t="shared" si="0"/>
        <v>1</v>
      </c>
      <c r="Z19" s="351">
        <f t="shared" si="4"/>
        <v>0.5</v>
      </c>
      <c r="AA19" s="352" t="b">
        <f t="shared" si="2"/>
        <v>1</v>
      </c>
      <c r="AB19" s="352" t="b">
        <f t="shared" si="3"/>
        <v>1</v>
      </c>
    </row>
    <row r="20" spans="1:28" s="154" customFormat="1" ht="63.75">
      <c r="A20" s="453">
        <v>18</v>
      </c>
      <c r="B20" s="456" t="s">
        <v>104</v>
      </c>
      <c r="C20" s="520" t="s">
        <v>202</v>
      </c>
      <c r="D20" s="522" t="s">
        <v>138</v>
      </c>
      <c r="E20" s="522">
        <v>1217042</v>
      </c>
      <c r="F20" s="522" t="s">
        <v>139</v>
      </c>
      <c r="G20" s="534" t="s">
        <v>140</v>
      </c>
      <c r="H20" s="477" t="s">
        <v>74</v>
      </c>
      <c r="I20" s="535">
        <v>0.906</v>
      </c>
      <c r="J20" s="477" t="s">
        <v>243</v>
      </c>
      <c r="K20" s="460">
        <v>2829426.66</v>
      </c>
      <c r="L20" s="460">
        <v>1414713</v>
      </c>
      <c r="M20" s="527">
        <v>1414713.66</v>
      </c>
      <c r="N20" s="468">
        <v>0.5</v>
      </c>
      <c r="O20" s="536">
        <v>0</v>
      </c>
      <c r="P20" s="469">
        <v>0</v>
      </c>
      <c r="Q20" s="463">
        <v>400000</v>
      </c>
      <c r="R20" s="463">
        <v>1014713</v>
      </c>
      <c r="S20" s="470"/>
      <c r="T20" s="470"/>
      <c r="U20" s="529"/>
      <c r="V20" s="529"/>
      <c r="W20" s="530"/>
      <c r="X20" s="530"/>
      <c r="Y20" s="156" t="b">
        <f t="shared" si="0"/>
        <v>1</v>
      </c>
      <c r="Z20" s="351">
        <f t="shared" si="4"/>
        <v>0.5</v>
      </c>
      <c r="AA20" s="352" t="b">
        <f t="shared" si="2"/>
        <v>1</v>
      </c>
      <c r="AB20" s="352" t="b">
        <f t="shared" si="3"/>
        <v>1</v>
      </c>
    </row>
    <row r="21" spans="1:28" s="154" customFormat="1" ht="76.5">
      <c r="A21" s="453">
        <v>19</v>
      </c>
      <c r="B21" s="456" t="s">
        <v>105</v>
      </c>
      <c r="C21" s="520" t="s">
        <v>202</v>
      </c>
      <c r="D21" s="522" t="s">
        <v>141</v>
      </c>
      <c r="E21" s="522">
        <v>1209092</v>
      </c>
      <c r="F21" s="522" t="s">
        <v>126</v>
      </c>
      <c r="G21" s="534" t="s">
        <v>279</v>
      </c>
      <c r="H21" s="477" t="s">
        <v>74</v>
      </c>
      <c r="I21" s="535">
        <v>0.074</v>
      </c>
      <c r="J21" s="477" t="s">
        <v>980</v>
      </c>
      <c r="K21" s="460">
        <v>1401708</v>
      </c>
      <c r="L21" s="460">
        <v>674808</v>
      </c>
      <c r="M21" s="527">
        <v>726900</v>
      </c>
      <c r="N21" s="468">
        <v>0.49</v>
      </c>
      <c r="O21" s="536">
        <v>0</v>
      </c>
      <c r="P21" s="469">
        <v>0</v>
      </c>
      <c r="Q21" s="463">
        <v>5041</v>
      </c>
      <c r="R21" s="463">
        <v>25964</v>
      </c>
      <c r="S21" s="470">
        <v>643803</v>
      </c>
      <c r="T21" s="470"/>
      <c r="U21" s="539"/>
      <c r="V21" s="529"/>
      <c r="W21" s="530"/>
      <c r="X21" s="530"/>
      <c r="Y21" s="156" t="b">
        <f t="shared" si="0"/>
        <v>1</v>
      </c>
      <c r="Z21" s="351">
        <f>ROUNDUP(L21/K21,2)</f>
        <v>0.49</v>
      </c>
      <c r="AA21" s="352" t="b">
        <f t="shared" si="2"/>
        <v>1</v>
      </c>
      <c r="AB21" s="352" t="b">
        <f t="shared" si="3"/>
        <v>1</v>
      </c>
    </row>
    <row r="22" spans="1:28" s="154" customFormat="1" ht="76.5">
      <c r="A22" s="453">
        <v>20</v>
      </c>
      <c r="B22" s="456" t="s">
        <v>106</v>
      </c>
      <c r="C22" s="520" t="s">
        <v>202</v>
      </c>
      <c r="D22" s="522" t="s">
        <v>144</v>
      </c>
      <c r="E22" s="522">
        <v>1213023</v>
      </c>
      <c r="F22" s="522" t="s">
        <v>142</v>
      </c>
      <c r="G22" s="534" t="s">
        <v>145</v>
      </c>
      <c r="H22" s="477" t="s">
        <v>74</v>
      </c>
      <c r="I22" s="535">
        <v>0.855</v>
      </c>
      <c r="J22" s="477" t="s">
        <v>990</v>
      </c>
      <c r="K22" s="460">
        <v>3909190.29</v>
      </c>
      <c r="L22" s="460">
        <v>1954595</v>
      </c>
      <c r="M22" s="527">
        <v>1954595.29</v>
      </c>
      <c r="N22" s="468">
        <v>0.5</v>
      </c>
      <c r="O22" s="536">
        <v>0</v>
      </c>
      <c r="P22" s="469">
        <v>0</v>
      </c>
      <c r="Q22" s="463">
        <v>283964</v>
      </c>
      <c r="R22" s="463">
        <v>1170631</v>
      </c>
      <c r="S22" s="470">
        <v>500000</v>
      </c>
      <c r="T22" s="541"/>
      <c r="U22" s="529"/>
      <c r="V22" s="529"/>
      <c r="W22" s="530"/>
      <c r="X22" s="530"/>
      <c r="Y22" s="156" t="b">
        <f t="shared" si="0"/>
        <v>1</v>
      </c>
      <c r="Z22" s="351">
        <f aca="true" t="shared" si="5" ref="Z22:Z38">ROUND(L22/K22,4)</f>
        <v>0.5</v>
      </c>
      <c r="AA22" s="352" t="b">
        <f t="shared" si="2"/>
        <v>1</v>
      </c>
      <c r="AB22" s="352" t="b">
        <f t="shared" si="3"/>
        <v>1</v>
      </c>
    </row>
    <row r="23" spans="1:28" s="154" customFormat="1" ht="114.75">
      <c r="A23" s="453">
        <v>21</v>
      </c>
      <c r="B23" s="456" t="s">
        <v>107</v>
      </c>
      <c r="C23" s="520" t="s">
        <v>202</v>
      </c>
      <c r="D23" s="522" t="s">
        <v>146</v>
      </c>
      <c r="E23" s="522">
        <v>1218093</v>
      </c>
      <c r="F23" s="522" t="s">
        <v>147</v>
      </c>
      <c r="G23" s="534" t="s">
        <v>148</v>
      </c>
      <c r="H23" s="477" t="s">
        <v>72</v>
      </c>
      <c r="I23" s="535">
        <v>0.462</v>
      </c>
      <c r="J23" s="477" t="s">
        <v>273</v>
      </c>
      <c r="K23" s="460">
        <v>3083860.12</v>
      </c>
      <c r="L23" s="460">
        <v>2004509</v>
      </c>
      <c r="M23" s="527">
        <v>1079351.12</v>
      </c>
      <c r="N23" s="468">
        <v>0.65</v>
      </c>
      <c r="O23" s="536">
        <v>0</v>
      </c>
      <c r="P23" s="469">
        <v>0</v>
      </c>
      <c r="Q23" s="463">
        <v>5500</v>
      </c>
      <c r="R23" s="463">
        <v>1999009</v>
      </c>
      <c r="S23" s="470"/>
      <c r="T23" s="541"/>
      <c r="U23" s="529"/>
      <c r="V23" s="529"/>
      <c r="W23" s="530"/>
      <c r="X23" s="530"/>
      <c r="Y23" s="156" t="b">
        <f t="shared" si="0"/>
        <v>1</v>
      </c>
      <c r="Z23" s="351">
        <f t="shared" si="5"/>
        <v>0.65</v>
      </c>
      <c r="AA23" s="352" t="b">
        <f t="shared" si="2"/>
        <v>1</v>
      </c>
      <c r="AB23" s="352" t="b">
        <f t="shared" si="3"/>
        <v>1</v>
      </c>
    </row>
    <row r="24" spans="1:28" s="154" customFormat="1" ht="51">
      <c r="A24" s="453">
        <v>22</v>
      </c>
      <c r="B24" s="456" t="s">
        <v>108</v>
      </c>
      <c r="C24" s="520" t="s">
        <v>202</v>
      </c>
      <c r="D24" s="522" t="s">
        <v>149</v>
      </c>
      <c r="E24" s="522">
        <v>1219012</v>
      </c>
      <c r="F24" s="522" t="s">
        <v>150</v>
      </c>
      <c r="G24" s="534" t="s">
        <v>151</v>
      </c>
      <c r="H24" s="477" t="s">
        <v>74</v>
      </c>
      <c r="I24" s="535">
        <v>1.72126</v>
      </c>
      <c r="J24" s="477" t="s">
        <v>250</v>
      </c>
      <c r="K24" s="460">
        <v>3774135.64</v>
      </c>
      <c r="L24" s="460">
        <v>2075774</v>
      </c>
      <c r="M24" s="527">
        <v>1698361.64</v>
      </c>
      <c r="N24" s="468">
        <v>0.55</v>
      </c>
      <c r="O24" s="536">
        <v>0</v>
      </c>
      <c r="P24" s="469">
        <v>0</v>
      </c>
      <c r="Q24" s="463">
        <v>945155</v>
      </c>
      <c r="R24" s="463">
        <v>1130619</v>
      </c>
      <c r="S24" s="470"/>
      <c r="T24" s="470"/>
      <c r="U24" s="529"/>
      <c r="V24" s="529"/>
      <c r="W24" s="530"/>
      <c r="X24" s="530"/>
      <c r="Y24" s="156" t="b">
        <f t="shared" si="0"/>
        <v>1</v>
      </c>
      <c r="Z24" s="351">
        <f t="shared" si="5"/>
        <v>0.55</v>
      </c>
      <c r="AA24" s="352" t="b">
        <f t="shared" si="2"/>
        <v>1</v>
      </c>
      <c r="AB24" s="352" t="b">
        <f t="shared" si="3"/>
        <v>1</v>
      </c>
    </row>
    <row r="25" spans="1:28" s="154" customFormat="1" ht="76.5">
      <c r="A25" s="453">
        <v>23</v>
      </c>
      <c r="B25" s="456" t="s">
        <v>109</v>
      </c>
      <c r="C25" s="520" t="s">
        <v>202</v>
      </c>
      <c r="D25" s="522" t="s">
        <v>155</v>
      </c>
      <c r="E25" s="522">
        <v>1213011</v>
      </c>
      <c r="F25" s="522" t="s">
        <v>142</v>
      </c>
      <c r="G25" s="534" t="s">
        <v>260</v>
      </c>
      <c r="H25" s="477" t="s">
        <v>72</v>
      </c>
      <c r="I25" s="535">
        <v>0.6064</v>
      </c>
      <c r="J25" s="477" t="s">
        <v>255</v>
      </c>
      <c r="K25" s="460">
        <v>2370875.38</v>
      </c>
      <c r="L25" s="460">
        <v>1185437</v>
      </c>
      <c r="M25" s="527">
        <v>1185438.38</v>
      </c>
      <c r="N25" s="468">
        <v>0.5</v>
      </c>
      <c r="O25" s="536">
        <v>0</v>
      </c>
      <c r="P25" s="469">
        <v>0</v>
      </c>
      <c r="Q25" s="463">
        <v>470288</v>
      </c>
      <c r="R25" s="463">
        <v>288699</v>
      </c>
      <c r="S25" s="470">
        <v>426450</v>
      </c>
      <c r="T25" s="470"/>
      <c r="U25" s="529"/>
      <c r="V25" s="529"/>
      <c r="W25" s="530"/>
      <c r="X25" s="530"/>
      <c r="Y25" s="156" t="b">
        <f t="shared" si="0"/>
        <v>1</v>
      </c>
      <c r="Z25" s="351">
        <f t="shared" si="5"/>
        <v>0.5</v>
      </c>
      <c r="AA25" s="352" t="b">
        <f t="shared" si="2"/>
        <v>1</v>
      </c>
      <c r="AB25" s="352" t="b">
        <f t="shared" si="3"/>
        <v>1</v>
      </c>
    </row>
    <row r="26" spans="1:28" s="154" customFormat="1" ht="114.75">
      <c r="A26" s="453">
        <v>24</v>
      </c>
      <c r="B26" s="456" t="s">
        <v>110</v>
      </c>
      <c r="C26" s="520" t="s">
        <v>202</v>
      </c>
      <c r="D26" s="522" t="s">
        <v>155</v>
      </c>
      <c r="E26" s="522">
        <v>1213011</v>
      </c>
      <c r="F26" s="522" t="s">
        <v>142</v>
      </c>
      <c r="G26" s="534" t="s">
        <v>986</v>
      </c>
      <c r="H26" s="477" t="s">
        <v>72</v>
      </c>
      <c r="I26" s="535">
        <v>0.6011</v>
      </c>
      <c r="J26" s="477" t="s">
        <v>80</v>
      </c>
      <c r="K26" s="460">
        <v>2052632.69</v>
      </c>
      <c r="L26" s="460">
        <v>1026316</v>
      </c>
      <c r="M26" s="527">
        <v>1026316.69</v>
      </c>
      <c r="N26" s="468">
        <v>0.5</v>
      </c>
      <c r="O26" s="536">
        <v>0</v>
      </c>
      <c r="P26" s="469">
        <v>0</v>
      </c>
      <c r="Q26" s="463">
        <v>450125</v>
      </c>
      <c r="R26" s="463">
        <v>576191</v>
      </c>
      <c r="S26" s="470"/>
      <c r="T26" s="470"/>
      <c r="U26" s="529"/>
      <c r="V26" s="529"/>
      <c r="W26" s="530"/>
      <c r="X26" s="530"/>
      <c r="Y26" s="156" t="b">
        <f t="shared" si="0"/>
        <v>1</v>
      </c>
      <c r="Z26" s="351">
        <f t="shared" si="5"/>
        <v>0.5</v>
      </c>
      <c r="AA26" s="352" t="b">
        <f t="shared" si="2"/>
        <v>1</v>
      </c>
      <c r="AB26" s="352" t="b">
        <f t="shared" si="3"/>
        <v>1</v>
      </c>
    </row>
    <row r="27" spans="1:28" s="154" customFormat="1" ht="51">
      <c r="A27" s="453">
        <v>25</v>
      </c>
      <c r="B27" s="456" t="s">
        <v>112</v>
      </c>
      <c r="C27" s="520" t="s">
        <v>202</v>
      </c>
      <c r="D27" s="522" t="s">
        <v>134</v>
      </c>
      <c r="E27" s="522">
        <v>1211011</v>
      </c>
      <c r="F27" s="522" t="s">
        <v>128</v>
      </c>
      <c r="G27" s="534" t="s">
        <v>158</v>
      </c>
      <c r="H27" s="477" t="s">
        <v>72</v>
      </c>
      <c r="I27" s="535">
        <v>0.4865</v>
      </c>
      <c r="J27" s="467" t="s">
        <v>259</v>
      </c>
      <c r="K27" s="460">
        <v>2321361.23</v>
      </c>
      <c r="L27" s="460">
        <v>1276748</v>
      </c>
      <c r="M27" s="527">
        <v>1044613.23</v>
      </c>
      <c r="N27" s="468">
        <v>0.55</v>
      </c>
      <c r="O27" s="536">
        <v>0</v>
      </c>
      <c r="P27" s="469">
        <v>0</v>
      </c>
      <c r="Q27" s="463">
        <v>268000</v>
      </c>
      <c r="R27" s="463">
        <v>1008748</v>
      </c>
      <c r="S27" s="470"/>
      <c r="T27" s="470"/>
      <c r="U27" s="529"/>
      <c r="V27" s="529"/>
      <c r="W27" s="530"/>
      <c r="X27" s="530"/>
      <c r="Y27" s="156" t="b">
        <f t="shared" si="0"/>
        <v>1</v>
      </c>
      <c r="Z27" s="351">
        <f t="shared" si="5"/>
        <v>0.55</v>
      </c>
      <c r="AA27" s="352" t="b">
        <f t="shared" si="2"/>
        <v>1</v>
      </c>
      <c r="AB27" s="352" t="b">
        <f t="shared" si="3"/>
        <v>1</v>
      </c>
    </row>
    <row r="28" spans="1:28" s="154" customFormat="1" ht="51">
      <c r="A28" s="453">
        <v>26</v>
      </c>
      <c r="B28" s="456" t="s">
        <v>114</v>
      </c>
      <c r="C28" s="520" t="s">
        <v>202</v>
      </c>
      <c r="D28" s="522" t="s">
        <v>149</v>
      </c>
      <c r="E28" s="522">
        <v>1219012</v>
      </c>
      <c r="F28" s="522" t="s">
        <v>150</v>
      </c>
      <c r="G28" s="534" t="s">
        <v>160</v>
      </c>
      <c r="H28" s="477" t="s">
        <v>74</v>
      </c>
      <c r="I28" s="535">
        <v>1.8591</v>
      </c>
      <c r="J28" s="477" t="s">
        <v>240</v>
      </c>
      <c r="K28" s="460">
        <v>5349192.07</v>
      </c>
      <c r="L28" s="460">
        <v>2942055</v>
      </c>
      <c r="M28" s="527">
        <v>2407137.07</v>
      </c>
      <c r="N28" s="468">
        <v>0.55</v>
      </c>
      <c r="O28" s="536">
        <v>0</v>
      </c>
      <c r="P28" s="469">
        <v>0</v>
      </c>
      <c r="Q28" s="463">
        <v>720919</v>
      </c>
      <c r="R28" s="463">
        <v>1273531</v>
      </c>
      <c r="S28" s="470">
        <v>947605</v>
      </c>
      <c r="T28" s="481"/>
      <c r="U28" s="529"/>
      <c r="V28" s="529"/>
      <c r="W28" s="530"/>
      <c r="X28" s="530"/>
      <c r="Y28" s="156" t="b">
        <f t="shared" si="0"/>
        <v>1</v>
      </c>
      <c r="Z28" s="351">
        <f t="shared" si="5"/>
        <v>0.55</v>
      </c>
      <c r="AA28" s="352" t="b">
        <f t="shared" si="2"/>
        <v>1</v>
      </c>
      <c r="AB28" s="352" t="b">
        <f t="shared" si="3"/>
        <v>1</v>
      </c>
    </row>
    <row r="29" spans="1:28" s="154" customFormat="1" ht="51">
      <c r="A29" s="453">
        <v>27</v>
      </c>
      <c r="B29" s="456" t="s">
        <v>115</v>
      </c>
      <c r="C29" s="520" t="s">
        <v>202</v>
      </c>
      <c r="D29" s="522" t="s">
        <v>163</v>
      </c>
      <c r="E29" s="522">
        <v>1218033</v>
      </c>
      <c r="F29" s="522" t="s">
        <v>147</v>
      </c>
      <c r="G29" s="534" t="s">
        <v>164</v>
      </c>
      <c r="H29" s="477" t="s">
        <v>74</v>
      </c>
      <c r="I29" s="535">
        <v>0.505</v>
      </c>
      <c r="J29" s="542" t="s">
        <v>254</v>
      </c>
      <c r="K29" s="460">
        <v>692749.19</v>
      </c>
      <c r="L29" s="460">
        <v>381012</v>
      </c>
      <c r="M29" s="527">
        <v>311737.18999999994</v>
      </c>
      <c r="N29" s="468">
        <v>0.55</v>
      </c>
      <c r="O29" s="536">
        <v>0</v>
      </c>
      <c r="P29" s="469">
        <v>0</v>
      </c>
      <c r="Q29" s="463">
        <v>263421</v>
      </c>
      <c r="R29" s="463">
        <v>117591</v>
      </c>
      <c r="S29" s="470"/>
      <c r="T29" s="470"/>
      <c r="U29" s="529"/>
      <c r="V29" s="529"/>
      <c r="W29" s="530"/>
      <c r="X29" s="530"/>
      <c r="Y29" s="156" t="b">
        <f t="shared" si="0"/>
        <v>1</v>
      </c>
      <c r="Z29" s="351">
        <f t="shared" si="5"/>
        <v>0.55</v>
      </c>
      <c r="AA29" s="352" t="b">
        <f t="shared" si="2"/>
        <v>1</v>
      </c>
      <c r="AB29" s="352" t="b">
        <f t="shared" si="3"/>
        <v>1</v>
      </c>
    </row>
    <row r="30" spans="1:28" s="154" customFormat="1" ht="38.25">
      <c r="A30" s="453">
        <v>28</v>
      </c>
      <c r="B30" s="456" t="s">
        <v>116</v>
      </c>
      <c r="C30" s="520" t="s">
        <v>202</v>
      </c>
      <c r="D30" s="522" t="s">
        <v>165</v>
      </c>
      <c r="E30" s="522">
        <v>1202023</v>
      </c>
      <c r="F30" s="522" t="s">
        <v>152</v>
      </c>
      <c r="G30" s="474" t="s">
        <v>280</v>
      </c>
      <c r="H30" s="477" t="s">
        <v>77</v>
      </c>
      <c r="I30" s="535">
        <v>1.584</v>
      </c>
      <c r="J30" s="477" t="s">
        <v>241</v>
      </c>
      <c r="K30" s="460">
        <v>831598.62</v>
      </c>
      <c r="L30" s="460">
        <v>457378</v>
      </c>
      <c r="M30" s="527">
        <v>374220.62</v>
      </c>
      <c r="N30" s="468">
        <v>0.55</v>
      </c>
      <c r="O30" s="536">
        <v>0</v>
      </c>
      <c r="P30" s="469">
        <v>0</v>
      </c>
      <c r="Q30" s="463">
        <v>400986</v>
      </c>
      <c r="R30" s="463">
        <v>56392</v>
      </c>
      <c r="S30" s="543"/>
      <c r="T30" s="470"/>
      <c r="U30" s="529"/>
      <c r="V30" s="529"/>
      <c r="W30" s="530"/>
      <c r="X30" s="530"/>
      <c r="Y30" s="156" t="b">
        <f t="shared" si="0"/>
        <v>1</v>
      </c>
      <c r="Z30" s="351">
        <f t="shared" si="5"/>
        <v>0.55</v>
      </c>
      <c r="AA30" s="352" t="b">
        <f t="shared" si="2"/>
        <v>1</v>
      </c>
      <c r="AB30" s="352" t="b">
        <f t="shared" si="3"/>
        <v>1</v>
      </c>
    </row>
    <row r="31" spans="1:28" s="154" customFormat="1" ht="51">
      <c r="A31" s="453">
        <v>29</v>
      </c>
      <c r="B31" s="456" t="s">
        <v>117</v>
      </c>
      <c r="C31" s="520" t="s">
        <v>202</v>
      </c>
      <c r="D31" s="522" t="s">
        <v>163</v>
      </c>
      <c r="E31" s="522">
        <v>1218033</v>
      </c>
      <c r="F31" s="522" t="s">
        <v>147</v>
      </c>
      <c r="G31" s="534" t="s">
        <v>166</v>
      </c>
      <c r="H31" s="477" t="s">
        <v>74</v>
      </c>
      <c r="I31" s="535">
        <v>1.449</v>
      </c>
      <c r="J31" s="369" t="s">
        <v>254</v>
      </c>
      <c r="K31" s="460">
        <v>1450953.23</v>
      </c>
      <c r="L31" s="460">
        <v>798024</v>
      </c>
      <c r="M31" s="527">
        <v>652929.23</v>
      </c>
      <c r="N31" s="468">
        <v>0.55</v>
      </c>
      <c r="O31" s="536">
        <v>0</v>
      </c>
      <c r="P31" s="469">
        <v>0</v>
      </c>
      <c r="Q31" s="463">
        <v>787280</v>
      </c>
      <c r="R31" s="463">
        <v>10744</v>
      </c>
      <c r="S31" s="470"/>
      <c r="T31" s="470"/>
      <c r="U31" s="529"/>
      <c r="V31" s="529"/>
      <c r="W31" s="530"/>
      <c r="X31" s="530"/>
      <c r="Y31" s="156" t="b">
        <f t="shared" si="0"/>
        <v>1</v>
      </c>
      <c r="Z31" s="351">
        <f t="shared" si="5"/>
        <v>0.55</v>
      </c>
      <c r="AA31" s="352" t="b">
        <f t="shared" si="2"/>
        <v>1</v>
      </c>
      <c r="AB31" s="352" t="b">
        <f t="shared" si="3"/>
        <v>1</v>
      </c>
    </row>
    <row r="32" spans="1:28" s="154" customFormat="1" ht="63.75">
      <c r="A32" s="453">
        <v>30</v>
      </c>
      <c r="B32" s="456" t="s">
        <v>118</v>
      </c>
      <c r="C32" s="520" t="s">
        <v>202</v>
      </c>
      <c r="D32" s="522" t="s">
        <v>168</v>
      </c>
      <c r="E32" s="522">
        <v>1211052</v>
      </c>
      <c r="F32" s="522" t="s">
        <v>128</v>
      </c>
      <c r="G32" s="534" t="s">
        <v>169</v>
      </c>
      <c r="H32" s="477" t="s">
        <v>72</v>
      </c>
      <c r="I32" s="535">
        <v>0.54</v>
      </c>
      <c r="J32" s="477" t="s">
        <v>245</v>
      </c>
      <c r="K32" s="460">
        <v>2480512.1</v>
      </c>
      <c r="L32" s="460">
        <v>1364281</v>
      </c>
      <c r="M32" s="527">
        <v>1116231.1</v>
      </c>
      <c r="N32" s="468">
        <v>0.55</v>
      </c>
      <c r="O32" s="536">
        <v>0</v>
      </c>
      <c r="P32" s="469">
        <v>0</v>
      </c>
      <c r="Q32" s="463">
        <v>468767</v>
      </c>
      <c r="R32" s="463">
        <v>895514</v>
      </c>
      <c r="S32" s="470"/>
      <c r="T32" s="470"/>
      <c r="U32" s="529"/>
      <c r="V32" s="529"/>
      <c r="W32" s="530"/>
      <c r="X32" s="530"/>
      <c r="Y32" s="156" t="b">
        <f t="shared" si="0"/>
        <v>1</v>
      </c>
      <c r="Z32" s="351">
        <f t="shared" si="5"/>
        <v>0.55</v>
      </c>
      <c r="AA32" s="352" t="b">
        <f t="shared" si="2"/>
        <v>1</v>
      </c>
      <c r="AB32" s="352" t="b">
        <f t="shared" si="3"/>
        <v>1</v>
      </c>
    </row>
    <row r="33" spans="1:28" s="154" customFormat="1" ht="51">
      <c r="A33" s="453">
        <v>31</v>
      </c>
      <c r="B33" s="456" t="s">
        <v>119</v>
      </c>
      <c r="C33" s="520" t="s">
        <v>202</v>
      </c>
      <c r="D33" s="522" t="s">
        <v>170</v>
      </c>
      <c r="E33" s="522">
        <v>1212053</v>
      </c>
      <c r="F33" s="522" t="s">
        <v>167</v>
      </c>
      <c r="G33" s="534" t="s">
        <v>171</v>
      </c>
      <c r="H33" s="477" t="s">
        <v>74</v>
      </c>
      <c r="I33" s="535">
        <v>0.41775</v>
      </c>
      <c r="J33" s="477" t="s">
        <v>251</v>
      </c>
      <c r="K33" s="460">
        <v>2189380.72</v>
      </c>
      <c r="L33" s="460">
        <v>1532565</v>
      </c>
      <c r="M33" s="527">
        <v>656815.72</v>
      </c>
      <c r="N33" s="468">
        <v>0.7</v>
      </c>
      <c r="O33" s="536">
        <v>0</v>
      </c>
      <c r="P33" s="469">
        <v>0</v>
      </c>
      <c r="Q33" s="463">
        <v>590489</v>
      </c>
      <c r="R33" s="463">
        <v>942076</v>
      </c>
      <c r="S33" s="544"/>
      <c r="T33" s="544"/>
      <c r="U33" s="529"/>
      <c r="V33" s="529"/>
      <c r="W33" s="530"/>
      <c r="X33" s="530"/>
      <c r="Y33" s="156" t="b">
        <f t="shared" si="0"/>
        <v>1</v>
      </c>
      <c r="Z33" s="351">
        <f t="shared" si="5"/>
        <v>0.7</v>
      </c>
      <c r="AA33" s="352" t="b">
        <f t="shared" si="2"/>
        <v>1</v>
      </c>
      <c r="AB33" s="352" t="b">
        <f t="shared" si="3"/>
        <v>1</v>
      </c>
    </row>
    <row r="34" spans="1:28" s="154" customFormat="1" ht="76.5">
      <c r="A34" s="453">
        <v>32</v>
      </c>
      <c r="B34" s="456" t="s">
        <v>120</v>
      </c>
      <c r="C34" s="520" t="s">
        <v>202</v>
      </c>
      <c r="D34" s="522" t="s">
        <v>172</v>
      </c>
      <c r="E34" s="522">
        <v>1217022</v>
      </c>
      <c r="F34" s="522" t="s">
        <v>139</v>
      </c>
      <c r="G34" s="534" t="s">
        <v>281</v>
      </c>
      <c r="H34" s="477" t="s">
        <v>77</v>
      </c>
      <c r="I34" s="535">
        <v>1.499</v>
      </c>
      <c r="J34" s="477" t="s">
        <v>262</v>
      </c>
      <c r="K34" s="460">
        <v>1978680.31</v>
      </c>
      <c r="L34" s="460">
        <v>1385076</v>
      </c>
      <c r="M34" s="527">
        <v>593604.31</v>
      </c>
      <c r="N34" s="468">
        <v>0.7</v>
      </c>
      <c r="O34" s="536">
        <v>0</v>
      </c>
      <c r="P34" s="469">
        <v>0</v>
      </c>
      <c r="Q34" s="463">
        <v>50472</v>
      </c>
      <c r="R34" s="463">
        <v>1334604</v>
      </c>
      <c r="S34" s="462">
        <v>0</v>
      </c>
      <c r="T34" s="470"/>
      <c r="U34" s="529"/>
      <c r="V34" s="529"/>
      <c r="W34" s="530"/>
      <c r="X34" s="530"/>
      <c r="Y34" s="156" t="b">
        <f t="shared" si="0"/>
        <v>1</v>
      </c>
      <c r="Z34" s="351">
        <f t="shared" si="5"/>
        <v>0.7</v>
      </c>
      <c r="AA34" s="352" t="b">
        <f t="shared" si="2"/>
        <v>1</v>
      </c>
      <c r="AB34" s="352" t="b">
        <f t="shared" si="3"/>
        <v>1</v>
      </c>
    </row>
    <row r="35" spans="1:28" s="154" customFormat="1" ht="89.25">
      <c r="A35" s="453">
        <v>33</v>
      </c>
      <c r="B35" s="456" t="s">
        <v>121</v>
      </c>
      <c r="C35" s="520" t="s">
        <v>202</v>
      </c>
      <c r="D35" s="522" t="s">
        <v>170</v>
      </c>
      <c r="E35" s="522">
        <v>1212053</v>
      </c>
      <c r="F35" s="522" t="s">
        <v>167</v>
      </c>
      <c r="G35" s="534" t="s">
        <v>173</v>
      </c>
      <c r="H35" s="477" t="s">
        <v>74</v>
      </c>
      <c r="I35" s="535">
        <v>0.31</v>
      </c>
      <c r="J35" s="477" t="s">
        <v>251</v>
      </c>
      <c r="K35" s="460">
        <v>931624.37</v>
      </c>
      <c r="L35" s="460">
        <v>652137</v>
      </c>
      <c r="M35" s="527">
        <v>279487.37</v>
      </c>
      <c r="N35" s="468">
        <v>0.7</v>
      </c>
      <c r="O35" s="536">
        <v>0</v>
      </c>
      <c r="P35" s="469">
        <v>0</v>
      </c>
      <c r="Q35" s="463">
        <v>327681</v>
      </c>
      <c r="R35" s="463">
        <v>324456</v>
      </c>
      <c r="S35" s="545"/>
      <c r="T35" s="470"/>
      <c r="U35" s="529"/>
      <c r="V35" s="529"/>
      <c r="W35" s="530"/>
      <c r="X35" s="530"/>
      <c r="Y35" s="156" t="b">
        <f t="shared" si="0"/>
        <v>1</v>
      </c>
      <c r="Z35" s="351">
        <f t="shared" si="5"/>
        <v>0.7</v>
      </c>
      <c r="AA35" s="352" t="b">
        <f aca="true" t="shared" si="6" ref="AA35:AA66">Z35=N35</f>
        <v>1</v>
      </c>
      <c r="AB35" s="352" t="b">
        <f aca="true" t="shared" si="7" ref="AB35:AB66">K35=L35+M35</f>
        <v>1</v>
      </c>
    </row>
    <row r="36" spans="1:28" s="154" customFormat="1" ht="38.25">
      <c r="A36" s="453">
        <v>34</v>
      </c>
      <c r="B36" s="456" t="s">
        <v>122</v>
      </c>
      <c r="C36" s="520" t="s">
        <v>202</v>
      </c>
      <c r="D36" s="522" t="s">
        <v>175</v>
      </c>
      <c r="E36" s="522">
        <v>1201082</v>
      </c>
      <c r="F36" s="522" t="s">
        <v>176</v>
      </c>
      <c r="G36" s="534" t="s">
        <v>177</v>
      </c>
      <c r="H36" s="477" t="s">
        <v>77</v>
      </c>
      <c r="I36" s="535">
        <v>1.845</v>
      </c>
      <c r="J36" s="477" t="s">
        <v>247</v>
      </c>
      <c r="K36" s="460">
        <v>757893.52</v>
      </c>
      <c r="L36" s="460">
        <v>492630</v>
      </c>
      <c r="M36" s="527">
        <v>265263.52</v>
      </c>
      <c r="N36" s="468">
        <v>0.65</v>
      </c>
      <c r="O36" s="536">
        <v>0</v>
      </c>
      <c r="P36" s="469">
        <v>0</v>
      </c>
      <c r="Q36" s="463">
        <v>29791</v>
      </c>
      <c r="R36" s="463">
        <v>462839</v>
      </c>
      <c r="S36" s="470"/>
      <c r="T36" s="470"/>
      <c r="U36" s="529"/>
      <c r="V36" s="529"/>
      <c r="W36" s="530"/>
      <c r="X36" s="530"/>
      <c r="Y36" s="156" t="b">
        <f t="shared" si="0"/>
        <v>1</v>
      </c>
      <c r="Z36" s="351">
        <f t="shared" si="5"/>
        <v>0.65</v>
      </c>
      <c r="AA36" s="352" t="b">
        <f t="shared" si="6"/>
        <v>1</v>
      </c>
      <c r="AB36" s="352" t="b">
        <f t="shared" si="7"/>
        <v>1</v>
      </c>
    </row>
    <row r="37" spans="1:28" s="154" customFormat="1" ht="56.25" customHeight="1">
      <c r="A37" s="453">
        <v>35</v>
      </c>
      <c r="B37" s="456" t="s">
        <v>123</v>
      </c>
      <c r="C37" s="520" t="s">
        <v>202</v>
      </c>
      <c r="D37" s="522" t="s">
        <v>178</v>
      </c>
      <c r="E37" s="522">
        <v>1214033</v>
      </c>
      <c r="F37" s="522" t="s">
        <v>143</v>
      </c>
      <c r="G37" s="534" t="s">
        <v>179</v>
      </c>
      <c r="H37" s="477" t="s">
        <v>74</v>
      </c>
      <c r="I37" s="535">
        <v>0.423</v>
      </c>
      <c r="J37" s="477" t="s">
        <v>265</v>
      </c>
      <c r="K37" s="460">
        <v>1733699.45</v>
      </c>
      <c r="L37" s="460">
        <v>884186</v>
      </c>
      <c r="M37" s="527">
        <v>849513.45</v>
      </c>
      <c r="N37" s="468">
        <v>0.51</v>
      </c>
      <c r="O37" s="536">
        <v>0</v>
      </c>
      <c r="P37" s="469">
        <v>0</v>
      </c>
      <c r="Q37" s="463">
        <v>281981</v>
      </c>
      <c r="R37" s="463">
        <v>602205</v>
      </c>
      <c r="S37" s="470"/>
      <c r="T37" s="470"/>
      <c r="U37" s="529"/>
      <c r="V37" s="529"/>
      <c r="W37" s="530"/>
      <c r="X37" s="530"/>
      <c r="Y37" s="156" t="b">
        <f t="shared" si="0"/>
        <v>1</v>
      </c>
      <c r="Z37" s="351">
        <f t="shared" si="5"/>
        <v>0.51</v>
      </c>
      <c r="AA37" s="352" t="b">
        <f t="shared" si="6"/>
        <v>1</v>
      </c>
      <c r="AB37" s="352" t="b">
        <f t="shared" si="7"/>
        <v>1</v>
      </c>
    </row>
    <row r="38" spans="1:28" s="154" customFormat="1" ht="63.75">
      <c r="A38" s="453">
        <v>36</v>
      </c>
      <c r="B38" s="456" t="s">
        <v>124</v>
      </c>
      <c r="C38" s="520" t="s">
        <v>202</v>
      </c>
      <c r="D38" s="522" t="s">
        <v>180</v>
      </c>
      <c r="E38" s="522">
        <v>1205052</v>
      </c>
      <c r="F38" s="522" t="s">
        <v>154</v>
      </c>
      <c r="G38" s="534" t="s">
        <v>244</v>
      </c>
      <c r="H38" s="477" t="s">
        <v>77</v>
      </c>
      <c r="I38" s="535">
        <v>1.803</v>
      </c>
      <c r="J38" s="369" t="s">
        <v>250</v>
      </c>
      <c r="K38" s="460">
        <v>446123.45999999996</v>
      </c>
      <c r="L38" s="460">
        <v>267674</v>
      </c>
      <c r="M38" s="527">
        <v>178449.46</v>
      </c>
      <c r="N38" s="468">
        <v>0.6</v>
      </c>
      <c r="O38" s="536">
        <v>0</v>
      </c>
      <c r="P38" s="469">
        <v>0</v>
      </c>
      <c r="Q38" s="463">
        <v>47279</v>
      </c>
      <c r="R38" s="463">
        <v>220395</v>
      </c>
      <c r="S38" s="470"/>
      <c r="T38" s="470"/>
      <c r="U38" s="529"/>
      <c r="V38" s="529"/>
      <c r="W38" s="530"/>
      <c r="X38" s="530"/>
      <c r="Y38" s="156" t="b">
        <f t="shared" si="0"/>
        <v>1</v>
      </c>
      <c r="Z38" s="351">
        <f t="shared" si="5"/>
        <v>0.6</v>
      </c>
      <c r="AA38" s="352" t="b">
        <f t="shared" si="6"/>
        <v>1</v>
      </c>
      <c r="AB38" s="352" t="b">
        <f t="shared" si="7"/>
        <v>1</v>
      </c>
    </row>
    <row r="39" spans="1:28" s="157" customFormat="1" ht="38.25">
      <c r="A39" s="453">
        <v>37</v>
      </c>
      <c r="B39" s="456" t="s">
        <v>188</v>
      </c>
      <c r="C39" s="520" t="s">
        <v>202</v>
      </c>
      <c r="D39" s="522" t="s">
        <v>199</v>
      </c>
      <c r="E39" s="522">
        <v>1208053</v>
      </c>
      <c r="F39" s="522" t="s">
        <v>200</v>
      </c>
      <c r="G39" s="534" t="s">
        <v>201</v>
      </c>
      <c r="H39" s="477" t="s">
        <v>74</v>
      </c>
      <c r="I39" s="535">
        <v>0.21</v>
      </c>
      <c r="J39" s="477" t="s">
        <v>261</v>
      </c>
      <c r="K39" s="460">
        <v>2565912.84</v>
      </c>
      <c r="L39" s="546">
        <v>1124946</v>
      </c>
      <c r="M39" s="527">
        <v>1440966.84</v>
      </c>
      <c r="N39" s="468">
        <v>0.44</v>
      </c>
      <c r="O39" s="536">
        <v>0</v>
      </c>
      <c r="P39" s="469">
        <v>0</v>
      </c>
      <c r="Q39" s="470">
        <v>656822</v>
      </c>
      <c r="R39" s="470">
        <v>468124</v>
      </c>
      <c r="S39" s="470"/>
      <c r="T39" s="470"/>
      <c r="U39" s="529"/>
      <c r="V39" s="529"/>
      <c r="W39" s="530"/>
      <c r="X39" s="530"/>
      <c r="Y39" s="156" t="b">
        <v>1</v>
      </c>
      <c r="Z39" s="351">
        <f>ROUNDUP(L39/K39,2)</f>
        <v>0.44</v>
      </c>
      <c r="AA39" s="352" t="b">
        <f t="shared" si="6"/>
        <v>1</v>
      </c>
      <c r="AB39" s="352" t="b">
        <f t="shared" si="7"/>
        <v>1</v>
      </c>
    </row>
    <row r="40" spans="1:28" s="154" customFormat="1" ht="51">
      <c r="A40" s="453">
        <v>38</v>
      </c>
      <c r="B40" s="456" t="s">
        <v>111</v>
      </c>
      <c r="C40" s="520" t="s">
        <v>202</v>
      </c>
      <c r="D40" s="522" t="s">
        <v>156</v>
      </c>
      <c r="E40" s="522">
        <v>1206162</v>
      </c>
      <c r="F40" s="522" t="s">
        <v>130</v>
      </c>
      <c r="G40" s="534" t="s">
        <v>157</v>
      </c>
      <c r="H40" s="477" t="s">
        <v>72</v>
      </c>
      <c r="I40" s="535">
        <v>0.514</v>
      </c>
      <c r="J40" s="477" t="s">
        <v>367</v>
      </c>
      <c r="K40" s="460">
        <v>4540262.1</v>
      </c>
      <c r="L40" s="460">
        <v>2085465</v>
      </c>
      <c r="M40" s="527">
        <v>2454797.0999999996</v>
      </c>
      <c r="N40" s="468">
        <v>0.46</v>
      </c>
      <c r="O40" s="536">
        <v>0</v>
      </c>
      <c r="P40" s="469">
        <v>0</v>
      </c>
      <c r="Q40" s="463">
        <v>270600</v>
      </c>
      <c r="R40" s="463">
        <v>1814865</v>
      </c>
      <c r="S40" s="462">
        <v>0</v>
      </c>
      <c r="T40" s="470"/>
      <c r="U40" s="529"/>
      <c r="V40" s="529"/>
      <c r="W40" s="540"/>
      <c r="X40" s="530"/>
      <c r="Y40" s="156" t="b">
        <f aca="true" t="shared" si="8" ref="Y40:Y80">L40=SUM(O40:X40)</f>
        <v>1</v>
      </c>
      <c r="Z40" s="351">
        <f>ROUNDUP(L40/K40,2)</f>
        <v>0.46</v>
      </c>
      <c r="AA40" s="352" t="b">
        <f t="shared" si="6"/>
        <v>1</v>
      </c>
      <c r="AB40" s="352" t="b">
        <f t="shared" si="7"/>
        <v>1</v>
      </c>
    </row>
    <row r="41" spans="1:28" s="154" customFormat="1" ht="51">
      <c r="A41" s="453">
        <v>39</v>
      </c>
      <c r="B41" s="456" t="s">
        <v>113</v>
      </c>
      <c r="C41" s="520" t="s">
        <v>202</v>
      </c>
      <c r="D41" s="522" t="s">
        <v>156</v>
      </c>
      <c r="E41" s="522">
        <v>1206162</v>
      </c>
      <c r="F41" s="522" t="s">
        <v>130</v>
      </c>
      <c r="G41" s="534" t="s">
        <v>159</v>
      </c>
      <c r="H41" s="477" t="s">
        <v>72</v>
      </c>
      <c r="I41" s="535">
        <v>0.15</v>
      </c>
      <c r="J41" s="477" t="s">
        <v>268</v>
      </c>
      <c r="K41" s="460">
        <v>5563536</v>
      </c>
      <c r="L41" s="460">
        <v>2781768</v>
      </c>
      <c r="M41" s="527">
        <v>2781768</v>
      </c>
      <c r="N41" s="468">
        <v>0.5</v>
      </c>
      <c r="O41" s="536">
        <v>0</v>
      </c>
      <c r="P41" s="469">
        <v>0</v>
      </c>
      <c r="Q41" s="463">
        <v>61500</v>
      </c>
      <c r="R41" s="463">
        <v>2720268</v>
      </c>
      <c r="S41" s="462">
        <v>0</v>
      </c>
      <c r="T41" s="547"/>
      <c r="U41" s="529"/>
      <c r="V41" s="529"/>
      <c r="W41" s="530"/>
      <c r="X41" s="530"/>
      <c r="Y41" s="156" t="b">
        <f t="shared" si="8"/>
        <v>1</v>
      </c>
      <c r="Z41" s="351">
        <f aca="true" t="shared" si="9" ref="Z41:Z72">ROUND(L41/K41,4)</f>
        <v>0.5</v>
      </c>
      <c r="AA41" s="352" t="b">
        <f t="shared" si="6"/>
        <v>1</v>
      </c>
      <c r="AB41" s="352" t="b">
        <f t="shared" si="7"/>
        <v>1</v>
      </c>
    </row>
    <row r="42" spans="1:28" s="157" customFormat="1" ht="38.25">
      <c r="A42" s="453">
        <v>40</v>
      </c>
      <c r="B42" s="456" t="s">
        <v>181</v>
      </c>
      <c r="C42" s="520" t="s">
        <v>202</v>
      </c>
      <c r="D42" s="522" t="s">
        <v>189</v>
      </c>
      <c r="E42" s="522">
        <v>1212073</v>
      </c>
      <c r="F42" s="522" t="s">
        <v>167</v>
      </c>
      <c r="G42" s="534" t="s">
        <v>190</v>
      </c>
      <c r="H42" s="477" t="s">
        <v>77</v>
      </c>
      <c r="I42" s="535">
        <v>0.67</v>
      </c>
      <c r="J42" s="477" t="s">
        <v>271</v>
      </c>
      <c r="K42" s="460">
        <v>1277403.59</v>
      </c>
      <c r="L42" s="546">
        <v>702571</v>
      </c>
      <c r="M42" s="527">
        <v>574832.59</v>
      </c>
      <c r="N42" s="468">
        <v>0.55</v>
      </c>
      <c r="O42" s="536">
        <v>0</v>
      </c>
      <c r="P42" s="469">
        <v>0</v>
      </c>
      <c r="Q42" s="470">
        <v>372916</v>
      </c>
      <c r="R42" s="470">
        <v>329655</v>
      </c>
      <c r="S42" s="462">
        <v>0</v>
      </c>
      <c r="T42" s="462">
        <v>0</v>
      </c>
      <c r="U42" s="529"/>
      <c r="V42" s="529"/>
      <c r="W42" s="530"/>
      <c r="X42" s="530"/>
      <c r="Y42" s="156" t="b">
        <f t="shared" si="8"/>
        <v>1</v>
      </c>
      <c r="Z42" s="353">
        <f t="shared" si="9"/>
        <v>0.55</v>
      </c>
      <c r="AA42" s="156" t="b">
        <f t="shared" si="6"/>
        <v>1</v>
      </c>
      <c r="AB42" s="185" t="b">
        <f t="shared" si="7"/>
        <v>1</v>
      </c>
    </row>
    <row r="43" spans="1:28" s="157" customFormat="1" ht="38.25">
      <c r="A43" s="453">
        <v>41</v>
      </c>
      <c r="B43" s="456" t="s">
        <v>182</v>
      </c>
      <c r="C43" s="520" t="s">
        <v>202</v>
      </c>
      <c r="D43" s="522" t="s">
        <v>191</v>
      </c>
      <c r="E43" s="522">
        <v>1210032</v>
      </c>
      <c r="F43" s="522" t="s">
        <v>162</v>
      </c>
      <c r="G43" s="534" t="s">
        <v>192</v>
      </c>
      <c r="H43" s="477" t="s">
        <v>77</v>
      </c>
      <c r="I43" s="535">
        <v>0.61</v>
      </c>
      <c r="J43" s="477" t="s">
        <v>265</v>
      </c>
      <c r="K43" s="460">
        <v>614347.17</v>
      </c>
      <c r="L43" s="546">
        <v>337890</v>
      </c>
      <c r="M43" s="527">
        <v>276457.17</v>
      </c>
      <c r="N43" s="468">
        <v>0.55</v>
      </c>
      <c r="O43" s="536">
        <v>0</v>
      </c>
      <c r="P43" s="469">
        <v>0</v>
      </c>
      <c r="Q43" s="470">
        <v>182939</v>
      </c>
      <c r="R43" s="470">
        <v>154951</v>
      </c>
      <c r="S43" s="470"/>
      <c r="T43" s="481"/>
      <c r="U43" s="529"/>
      <c r="V43" s="529"/>
      <c r="W43" s="530"/>
      <c r="X43" s="530"/>
      <c r="Y43" s="156" t="b">
        <f t="shared" si="8"/>
        <v>1</v>
      </c>
      <c r="Z43" s="353">
        <f t="shared" si="9"/>
        <v>0.55</v>
      </c>
      <c r="AA43" s="156" t="b">
        <f t="shared" si="6"/>
        <v>1</v>
      </c>
      <c r="AB43" s="185" t="b">
        <f t="shared" si="7"/>
        <v>1</v>
      </c>
    </row>
    <row r="44" spans="1:28" s="157" customFormat="1" ht="38.25">
      <c r="A44" s="453">
        <v>42</v>
      </c>
      <c r="B44" s="456" t="s">
        <v>183</v>
      </c>
      <c r="C44" s="520" t="s">
        <v>202</v>
      </c>
      <c r="D44" s="522" t="s">
        <v>189</v>
      </c>
      <c r="E44" s="522">
        <v>1212073</v>
      </c>
      <c r="F44" s="522" t="s">
        <v>167</v>
      </c>
      <c r="G44" s="534" t="s">
        <v>193</v>
      </c>
      <c r="H44" s="477" t="s">
        <v>77</v>
      </c>
      <c r="I44" s="535">
        <v>0.135</v>
      </c>
      <c r="J44" s="477" t="s">
        <v>263</v>
      </c>
      <c r="K44" s="460">
        <v>246039.57</v>
      </c>
      <c r="L44" s="546">
        <v>135320</v>
      </c>
      <c r="M44" s="548">
        <v>110719.57</v>
      </c>
      <c r="N44" s="468">
        <v>0.55</v>
      </c>
      <c r="O44" s="469">
        <v>0</v>
      </c>
      <c r="P44" s="469">
        <v>0</v>
      </c>
      <c r="Q44" s="470">
        <v>67660</v>
      </c>
      <c r="R44" s="470">
        <v>67660</v>
      </c>
      <c r="S44" s="470"/>
      <c r="T44" s="470"/>
      <c r="U44" s="529"/>
      <c r="V44" s="529"/>
      <c r="W44" s="530"/>
      <c r="X44" s="530"/>
      <c r="Y44" s="156" t="b">
        <f t="shared" si="8"/>
        <v>1</v>
      </c>
      <c r="Z44" s="353">
        <f t="shared" si="9"/>
        <v>0.55</v>
      </c>
      <c r="AA44" s="156" t="b">
        <f t="shared" si="6"/>
        <v>1</v>
      </c>
      <c r="AB44" s="185" t="b">
        <f t="shared" si="7"/>
        <v>1</v>
      </c>
    </row>
    <row r="45" spans="1:28" s="157" customFormat="1" ht="51">
      <c r="A45" s="453">
        <v>43</v>
      </c>
      <c r="B45" s="456" t="s">
        <v>184</v>
      </c>
      <c r="C45" s="520" t="s">
        <v>202</v>
      </c>
      <c r="D45" s="522" t="s">
        <v>194</v>
      </c>
      <c r="E45" s="522">
        <v>1205042</v>
      </c>
      <c r="F45" s="522" t="s">
        <v>154</v>
      </c>
      <c r="G45" s="534" t="s">
        <v>195</v>
      </c>
      <c r="H45" s="477" t="s">
        <v>72</v>
      </c>
      <c r="I45" s="535">
        <v>2.1774</v>
      </c>
      <c r="J45" s="477" t="s">
        <v>256</v>
      </c>
      <c r="K45" s="460">
        <v>3428048.96</v>
      </c>
      <c r="L45" s="546">
        <v>2228231</v>
      </c>
      <c r="M45" s="548">
        <v>1199817.96</v>
      </c>
      <c r="N45" s="468">
        <v>0.65</v>
      </c>
      <c r="O45" s="469">
        <v>0</v>
      </c>
      <c r="P45" s="469">
        <v>0</v>
      </c>
      <c r="Q45" s="470">
        <v>1402749</v>
      </c>
      <c r="R45" s="470">
        <v>825482</v>
      </c>
      <c r="S45" s="470"/>
      <c r="T45" s="470"/>
      <c r="U45" s="529"/>
      <c r="V45" s="529"/>
      <c r="W45" s="530"/>
      <c r="X45" s="530"/>
      <c r="Y45" s="156" t="b">
        <f t="shared" si="8"/>
        <v>1</v>
      </c>
      <c r="Z45" s="354">
        <f t="shared" si="9"/>
        <v>0.65</v>
      </c>
      <c r="AA45" s="262" t="b">
        <f t="shared" si="6"/>
        <v>1</v>
      </c>
      <c r="AB45" s="185" t="b">
        <f t="shared" si="7"/>
        <v>1</v>
      </c>
    </row>
    <row r="46" spans="1:28" s="157" customFormat="1" ht="38.25">
      <c r="A46" s="453">
        <v>44</v>
      </c>
      <c r="B46" s="456" t="s">
        <v>185</v>
      </c>
      <c r="C46" s="520" t="s">
        <v>202</v>
      </c>
      <c r="D46" s="522" t="s">
        <v>153</v>
      </c>
      <c r="E46" s="522">
        <v>1205011</v>
      </c>
      <c r="F46" s="522" t="s">
        <v>154</v>
      </c>
      <c r="G46" s="534" t="s">
        <v>196</v>
      </c>
      <c r="H46" s="477" t="s">
        <v>74</v>
      </c>
      <c r="I46" s="535">
        <v>0.8391</v>
      </c>
      <c r="J46" s="477" t="s">
        <v>269</v>
      </c>
      <c r="K46" s="460">
        <v>5037214.17</v>
      </c>
      <c r="L46" s="549">
        <v>2770466</v>
      </c>
      <c r="M46" s="548">
        <v>2266748.17</v>
      </c>
      <c r="N46" s="468">
        <v>0.55</v>
      </c>
      <c r="O46" s="469">
        <v>0</v>
      </c>
      <c r="P46" s="469">
        <v>0</v>
      </c>
      <c r="Q46" s="470">
        <v>2106400</v>
      </c>
      <c r="R46" s="550">
        <v>664066</v>
      </c>
      <c r="S46" s="470"/>
      <c r="T46" s="544"/>
      <c r="U46" s="529"/>
      <c r="V46" s="529"/>
      <c r="W46" s="530"/>
      <c r="X46" s="530"/>
      <c r="Y46" s="156" t="b">
        <f t="shared" si="8"/>
        <v>1</v>
      </c>
      <c r="Z46" s="354">
        <f t="shared" si="9"/>
        <v>0.55</v>
      </c>
      <c r="AA46" s="262" t="b">
        <f t="shared" si="6"/>
        <v>1</v>
      </c>
      <c r="AB46" s="185" t="b">
        <f t="shared" si="7"/>
        <v>1</v>
      </c>
    </row>
    <row r="47" spans="1:28" s="157" customFormat="1" ht="38.25">
      <c r="A47" s="453">
        <v>45</v>
      </c>
      <c r="B47" s="456" t="s">
        <v>186</v>
      </c>
      <c r="C47" s="520" t="s">
        <v>202</v>
      </c>
      <c r="D47" s="522" t="s">
        <v>175</v>
      </c>
      <c r="E47" s="522">
        <v>1201082</v>
      </c>
      <c r="F47" s="522" t="s">
        <v>176</v>
      </c>
      <c r="G47" s="534" t="s">
        <v>197</v>
      </c>
      <c r="H47" s="477" t="s">
        <v>77</v>
      </c>
      <c r="I47" s="535">
        <v>0.545</v>
      </c>
      <c r="J47" s="369" t="s">
        <v>261</v>
      </c>
      <c r="K47" s="460">
        <v>194200.32</v>
      </c>
      <c r="L47" s="549">
        <v>126230</v>
      </c>
      <c r="M47" s="548">
        <v>67970.32</v>
      </c>
      <c r="N47" s="551">
        <v>0.65</v>
      </c>
      <c r="O47" s="469">
        <v>0</v>
      </c>
      <c r="P47" s="469">
        <v>0</v>
      </c>
      <c r="Q47" s="470">
        <v>17190</v>
      </c>
      <c r="R47" s="550">
        <v>109040</v>
      </c>
      <c r="S47" s="470"/>
      <c r="T47" s="481"/>
      <c r="U47" s="530"/>
      <c r="V47" s="530"/>
      <c r="W47" s="530"/>
      <c r="X47" s="530"/>
      <c r="Y47" s="156" t="b">
        <f t="shared" si="8"/>
        <v>1</v>
      </c>
      <c r="Z47" s="353">
        <f t="shared" si="9"/>
        <v>0.65</v>
      </c>
      <c r="AA47" s="156" t="b">
        <f t="shared" si="6"/>
        <v>1</v>
      </c>
      <c r="AB47" s="185" t="b">
        <f t="shared" si="7"/>
        <v>1</v>
      </c>
    </row>
    <row r="48" spans="1:28" s="179" customFormat="1" ht="38.25">
      <c r="A48" s="453">
        <v>46</v>
      </c>
      <c r="B48" s="456" t="s">
        <v>187</v>
      </c>
      <c r="C48" s="520" t="s">
        <v>202</v>
      </c>
      <c r="D48" s="522" t="s">
        <v>198</v>
      </c>
      <c r="E48" s="522">
        <v>1203033</v>
      </c>
      <c r="F48" s="522" t="s">
        <v>174</v>
      </c>
      <c r="G48" s="534" t="s">
        <v>282</v>
      </c>
      <c r="H48" s="477" t="s">
        <v>72</v>
      </c>
      <c r="I48" s="535">
        <v>0.9536</v>
      </c>
      <c r="J48" s="477" t="s">
        <v>274</v>
      </c>
      <c r="K48" s="460">
        <v>6762531.73</v>
      </c>
      <c r="L48" s="546">
        <v>3381265</v>
      </c>
      <c r="M48" s="548">
        <v>3381266.73</v>
      </c>
      <c r="N48" s="551">
        <v>0.5</v>
      </c>
      <c r="O48" s="469">
        <v>0</v>
      </c>
      <c r="P48" s="469">
        <v>0</v>
      </c>
      <c r="Q48" s="469">
        <v>411317</v>
      </c>
      <c r="R48" s="470">
        <v>2969948</v>
      </c>
      <c r="S48" s="481"/>
      <c r="T48" s="552"/>
      <c r="U48" s="553"/>
      <c r="V48" s="553"/>
      <c r="W48" s="553"/>
      <c r="X48" s="553"/>
      <c r="Y48" s="156" t="b">
        <f t="shared" si="8"/>
        <v>1</v>
      </c>
      <c r="Z48" s="353">
        <f t="shared" si="9"/>
        <v>0.5</v>
      </c>
      <c r="AA48" s="156" t="b">
        <f t="shared" si="6"/>
        <v>1</v>
      </c>
      <c r="AB48" s="185" t="b">
        <f t="shared" si="7"/>
        <v>1</v>
      </c>
    </row>
    <row r="49" spans="1:28" s="157" customFormat="1" ht="120">
      <c r="A49" s="453">
        <v>47</v>
      </c>
      <c r="B49" s="477" t="s">
        <v>390</v>
      </c>
      <c r="C49" s="455" t="s">
        <v>313</v>
      </c>
      <c r="D49" s="477" t="s">
        <v>283</v>
      </c>
      <c r="E49" s="486">
        <v>1212011</v>
      </c>
      <c r="F49" s="554" t="s">
        <v>167</v>
      </c>
      <c r="G49" s="487" t="s">
        <v>957</v>
      </c>
      <c r="H49" s="501" t="s">
        <v>72</v>
      </c>
      <c r="I49" s="502">
        <v>0.69828</v>
      </c>
      <c r="J49" s="369" t="s">
        <v>465</v>
      </c>
      <c r="K49" s="460">
        <v>47505715.27</v>
      </c>
      <c r="L49" s="546">
        <v>23752857</v>
      </c>
      <c r="M49" s="548">
        <v>23752858.270000003</v>
      </c>
      <c r="N49" s="555">
        <v>0.5</v>
      </c>
      <c r="O49" s="469"/>
      <c r="P49" s="469"/>
      <c r="Q49" s="469"/>
      <c r="R49" s="470">
        <v>2675177</v>
      </c>
      <c r="S49" s="470">
        <v>737268</v>
      </c>
      <c r="T49" s="556">
        <v>20340412</v>
      </c>
      <c r="U49" s="556"/>
      <c r="V49" s="530"/>
      <c r="W49" s="530"/>
      <c r="X49" s="530"/>
      <c r="Y49" s="156" t="b">
        <f t="shared" si="8"/>
        <v>1</v>
      </c>
      <c r="Z49" s="353">
        <f t="shared" si="9"/>
        <v>0.5</v>
      </c>
      <c r="AA49" s="156" t="b">
        <f t="shared" si="6"/>
        <v>1</v>
      </c>
      <c r="AB49" s="185" t="b">
        <f t="shared" si="7"/>
        <v>1</v>
      </c>
    </row>
    <row r="50" spans="1:28" s="157" customFormat="1" ht="120">
      <c r="A50" s="453">
        <v>48</v>
      </c>
      <c r="B50" s="477" t="s">
        <v>391</v>
      </c>
      <c r="C50" s="455" t="s">
        <v>313</v>
      </c>
      <c r="D50" s="477" t="s">
        <v>65</v>
      </c>
      <c r="E50" s="486">
        <v>1262</v>
      </c>
      <c r="F50" s="554" t="s">
        <v>162</v>
      </c>
      <c r="G50" s="487" t="s">
        <v>466</v>
      </c>
      <c r="H50" s="501" t="s">
        <v>72</v>
      </c>
      <c r="I50" s="502">
        <v>2.00035</v>
      </c>
      <c r="J50" s="369" t="s">
        <v>937</v>
      </c>
      <c r="K50" s="460">
        <v>31283236.15</v>
      </c>
      <c r="L50" s="546">
        <v>15641618</v>
      </c>
      <c r="M50" s="548">
        <v>15641618.149999999</v>
      </c>
      <c r="N50" s="555">
        <v>0.5</v>
      </c>
      <c r="O50" s="469"/>
      <c r="P50" s="469"/>
      <c r="Q50" s="469"/>
      <c r="R50" s="470">
        <v>1475723</v>
      </c>
      <c r="S50" s="470">
        <v>635927</v>
      </c>
      <c r="T50" s="556">
        <v>2500000</v>
      </c>
      <c r="U50" s="556">
        <v>11029968</v>
      </c>
      <c r="V50" s="530"/>
      <c r="W50" s="530"/>
      <c r="X50" s="530"/>
      <c r="Y50" s="156" t="b">
        <f t="shared" si="8"/>
        <v>1</v>
      </c>
      <c r="Z50" s="353">
        <f t="shared" si="9"/>
        <v>0.5</v>
      </c>
      <c r="AA50" s="156" t="b">
        <f t="shared" si="6"/>
        <v>1</v>
      </c>
      <c r="AB50" s="185" t="b">
        <f t="shared" si="7"/>
        <v>1</v>
      </c>
    </row>
    <row r="51" spans="1:28" s="157" customFormat="1" ht="60">
      <c r="A51" s="453">
        <v>49</v>
      </c>
      <c r="B51" s="477" t="s">
        <v>392</v>
      </c>
      <c r="C51" s="455" t="s">
        <v>313</v>
      </c>
      <c r="D51" s="477" t="s">
        <v>449</v>
      </c>
      <c r="E51" s="486">
        <v>1201011</v>
      </c>
      <c r="F51" s="554" t="s">
        <v>176</v>
      </c>
      <c r="G51" s="487" t="s">
        <v>467</v>
      </c>
      <c r="H51" s="501" t="s">
        <v>74</v>
      </c>
      <c r="I51" s="502">
        <v>0.265</v>
      </c>
      <c r="J51" s="369" t="s">
        <v>779</v>
      </c>
      <c r="K51" s="460">
        <v>5789749.19</v>
      </c>
      <c r="L51" s="546">
        <v>2894874</v>
      </c>
      <c r="M51" s="548">
        <v>2894875.1900000004</v>
      </c>
      <c r="N51" s="555">
        <v>0.5</v>
      </c>
      <c r="O51" s="469"/>
      <c r="P51" s="469"/>
      <c r="Q51" s="469"/>
      <c r="R51" s="470">
        <v>943071</v>
      </c>
      <c r="S51" s="470">
        <v>651802</v>
      </c>
      <c r="T51" s="556">
        <v>1300001</v>
      </c>
      <c r="U51" s="530"/>
      <c r="V51" s="530"/>
      <c r="W51" s="530"/>
      <c r="X51" s="530"/>
      <c r="Y51" s="156" t="b">
        <f t="shared" si="8"/>
        <v>1</v>
      </c>
      <c r="Z51" s="353">
        <f t="shared" si="9"/>
        <v>0.5</v>
      </c>
      <c r="AA51" s="156" t="b">
        <f t="shared" si="6"/>
        <v>1</v>
      </c>
      <c r="AB51" s="185" t="b">
        <f t="shared" si="7"/>
        <v>1</v>
      </c>
    </row>
    <row r="52" spans="1:28" s="157" customFormat="1" ht="75">
      <c r="A52" s="453">
        <v>50</v>
      </c>
      <c r="B52" s="477" t="s">
        <v>393</v>
      </c>
      <c r="C52" s="455" t="s">
        <v>313</v>
      </c>
      <c r="D52" s="477" t="s">
        <v>450</v>
      </c>
      <c r="E52" s="486">
        <v>1216153</v>
      </c>
      <c r="F52" s="554" t="s">
        <v>161</v>
      </c>
      <c r="G52" s="487" t="s">
        <v>468</v>
      </c>
      <c r="H52" s="501" t="s">
        <v>72</v>
      </c>
      <c r="I52" s="502">
        <v>2.41</v>
      </c>
      <c r="J52" s="369" t="s">
        <v>938</v>
      </c>
      <c r="K52" s="460">
        <v>9113810.31</v>
      </c>
      <c r="L52" s="546">
        <v>5923976</v>
      </c>
      <c r="M52" s="548">
        <v>3189834.3100000005</v>
      </c>
      <c r="N52" s="555">
        <v>0.65</v>
      </c>
      <c r="O52" s="469"/>
      <c r="P52" s="469"/>
      <c r="Q52" s="469"/>
      <c r="R52" s="470">
        <v>2045793</v>
      </c>
      <c r="S52" s="470">
        <v>778183</v>
      </c>
      <c r="T52" s="556">
        <v>3100000</v>
      </c>
      <c r="U52" s="530"/>
      <c r="V52" s="530"/>
      <c r="W52" s="530"/>
      <c r="X52" s="530"/>
      <c r="Y52" s="156" t="b">
        <f t="shared" si="8"/>
        <v>1</v>
      </c>
      <c r="Z52" s="353">
        <f t="shared" si="9"/>
        <v>0.65</v>
      </c>
      <c r="AA52" s="156" t="b">
        <f t="shared" si="6"/>
        <v>1</v>
      </c>
      <c r="AB52" s="185" t="b">
        <f t="shared" si="7"/>
        <v>1</v>
      </c>
    </row>
    <row r="53" spans="1:28" s="157" customFormat="1" ht="120">
      <c r="A53" s="453">
        <v>51</v>
      </c>
      <c r="B53" s="477" t="s">
        <v>394</v>
      </c>
      <c r="C53" s="455" t="s">
        <v>313</v>
      </c>
      <c r="D53" s="477" t="s">
        <v>451</v>
      </c>
      <c r="E53" s="486">
        <v>1210142</v>
      </c>
      <c r="F53" s="554" t="s">
        <v>162</v>
      </c>
      <c r="G53" s="487" t="s">
        <v>470</v>
      </c>
      <c r="H53" s="501" t="s">
        <v>72</v>
      </c>
      <c r="I53" s="502">
        <v>0.42</v>
      </c>
      <c r="J53" s="369" t="s">
        <v>939</v>
      </c>
      <c r="K53" s="460">
        <v>6238208.32</v>
      </c>
      <c r="L53" s="546">
        <v>4054835</v>
      </c>
      <c r="M53" s="548">
        <v>2183373.3200000003</v>
      </c>
      <c r="N53" s="555">
        <v>0.65</v>
      </c>
      <c r="O53" s="469"/>
      <c r="P53" s="469"/>
      <c r="Q53" s="469"/>
      <c r="R53" s="470">
        <v>559552</v>
      </c>
      <c r="S53" s="470">
        <v>495283</v>
      </c>
      <c r="T53" s="556">
        <v>3000000</v>
      </c>
      <c r="U53" s="530"/>
      <c r="V53" s="530"/>
      <c r="W53" s="530"/>
      <c r="X53" s="530"/>
      <c r="Y53" s="156" t="b">
        <f t="shared" si="8"/>
        <v>1</v>
      </c>
      <c r="Z53" s="353">
        <f t="shared" si="9"/>
        <v>0.65</v>
      </c>
      <c r="AA53" s="156" t="b">
        <f t="shared" si="6"/>
        <v>1</v>
      </c>
      <c r="AB53" s="185" t="b">
        <f t="shared" si="7"/>
        <v>1</v>
      </c>
    </row>
    <row r="54" spans="1:28" s="179" customFormat="1" ht="105">
      <c r="A54" s="490">
        <v>52</v>
      </c>
      <c r="B54" s="327" t="s">
        <v>395</v>
      </c>
      <c r="C54" s="492" t="s">
        <v>314</v>
      </c>
      <c r="D54" s="327" t="s">
        <v>452</v>
      </c>
      <c r="E54" s="322">
        <v>1217011</v>
      </c>
      <c r="F54" s="328" t="s">
        <v>139</v>
      </c>
      <c r="G54" s="329" t="s">
        <v>472</v>
      </c>
      <c r="H54" s="330" t="s">
        <v>74</v>
      </c>
      <c r="I54" s="331">
        <v>0.631</v>
      </c>
      <c r="J54" s="508" t="s">
        <v>473</v>
      </c>
      <c r="K54" s="497">
        <v>4830629.8</v>
      </c>
      <c r="L54" s="557">
        <v>2415314</v>
      </c>
      <c r="M54" s="558">
        <v>2415315.8</v>
      </c>
      <c r="N54" s="559">
        <v>0.5</v>
      </c>
      <c r="O54" s="560"/>
      <c r="P54" s="560"/>
      <c r="Q54" s="560"/>
      <c r="R54" s="481">
        <v>2415314</v>
      </c>
      <c r="S54" s="481"/>
      <c r="T54" s="561"/>
      <c r="U54" s="553"/>
      <c r="V54" s="553"/>
      <c r="W54" s="553"/>
      <c r="X54" s="553"/>
      <c r="Y54" s="156" t="b">
        <f>L54=SUM(O54:X54)</f>
        <v>1</v>
      </c>
      <c r="Z54" s="353">
        <f t="shared" si="9"/>
        <v>0.5</v>
      </c>
      <c r="AA54" s="156" t="b">
        <f t="shared" si="6"/>
        <v>1</v>
      </c>
      <c r="AB54" s="185" t="b">
        <f>K54=L54+M54</f>
        <v>1</v>
      </c>
    </row>
    <row r="55" spans="1:28" s="157" customFormat="1" ht="45">
      <c r="A55" s="453">
        <v>53</v>
      </c>
      <c r="B55" s="477" t="s">
        <v>398</v>
      </c>
      <c r="C55" s="455" t="s">
        <v>313</v>
      </c>
      <c r="D55" s="477" t="s">
        <v>132</v>
      </c>
      <c r="E55" s="486">
        <v>1206113</v>
      </c>
      <c r="F55" s="554" t="s">
        <v>130</v>
      </c>
      <c r="G55" s="487" t="s">
        <v>477</v>
      </c>
      <c r="H55" s="501" t="s">
        <v>72</v>
      </c>
      <c r="I55" s="502">
        <v>0.21022</v>
      </c>
      <c r="J55" s="369" t="s">
        <v>940</v>
      </c>
      <c r="K55" s="460">
        <v>2424661.33</v>
      </c>
      <c r="L55" s="546">
        <v>1212330</v>
      </c>
      <c r="M55" s="548">
        <v>1212331.33</v>
      </c>
      <c r="N55" s="555">
        <v>0.5</v>
      </c>
      <c r="O55" s="469"/>
      <c r="P55" s="469"/>
      <c r="Q55" s="469"/>
      <c r="R55" s="470">
        <v>587555</v>
      </c>
      <c r="S55" s="470">
        <v>354775</v>
      </c>
      <c r="T55" s="556">
        <v>270000</v>
      </c>
      <c r="U55" s="530"/>
      <c r="V55" s="530"/>
      <c r="W55" s="530"/>
      <c r="X55" s="530"/>
      <c r="Y55" s="156" t="b">
        <f t="shared" si="8"/>
        <v>1</v>
      </c>
      <c r="Z55" s="353">
        <f t="shared" si="9"/>
        <v>0.5</v>
      </c>
      <c r="AA55" s="156" t="b">
        <f t="shared" si="6"/>
        <v>1</v>
      </c>
      <c r="AB55" s="185" t="b">
        <f t="shared" si="7"/>
        <v>1</v>
      </c>
    </row>
    <row r="56" spans="1:28" s="179" customFormat="1" ht="90">
      <c r="A56" s="490">
        <v>54</v>
      </c>
      <c r="B56" s="327" t="s">
        <v>400</v>
      </c>
      <c r="C56" s="492" t="s">
        <v>314</v>
      </c>
      <c r="D56" s="327" t="s">
        <v>454</v>
      </c>
      <c r="E56" s="322">
        <v>1210073</v>
      </c>
      <c r="F56" s="328" t="s">
        <v>162</v>
      </c>
      <c r="G56" s="329" t="s">
        <v>479</v>
      </c>
      <c r="H56" s="330" t="s">
        <v>74</v>
      </c>
      <c r="I56" s="331">
        <v>0.67556</v>
      </c>
      <c r="J56" s="508" t="s">
        <v>299</v>
      </c>
      <c r="K56" s="497">
        <v>2470590.13</v>
      </c>
      <c r="L56" s="557">
        <v>1482354</v>
      </c>
      <c r="M56" s="558">
        <v>988236.1299999999</v>
      </c>
      <c r="N56" s="559">
        <v>0.6</v>
      </c>
      <c r="O56" s="560"/>
      <c r="P56" s="560"/>
      <c r="Q56" s="560"/>
      <c r="R56" s="481">
        <v>1482354</v>
      </c>
      <c r="S56" s="481"/>
      <c r="T56" s="561"/>
      <c r="U56" s="553"/>
      <c r="V56" s="553"/>
      <c r="W56" s="553"/>
      <c r="X56" s="553"/>
      <c r="Y56" s="156" t="b">
        <f t="shared" si="8"/>
        <v>1</v>
      </c>
      <c r="Z56" s="353">
        <f t="shared" si="9"/>
        <v>0.6</v>
      </c>
      <c r="AA56" s="156" t="b">
        <f t="shared" si="6"/>
        <v>1</v>
      </c>
      <c r="AB56" s="185" t="b">
        <f t="shared" si="7"/>
        <v>1</v>
      </c>
    </row>
    <row r="57" spans="1:28" s="157" customFormat="1" ht="75">
      <c r="A57" s="453">
        <v>55</v>
      </c>
      <c r="B57" s="477" t="s">
        <v>402</v>
      </c>
      <c r="C57" s="455" t="s">
        <v>313</v>
      </c>
      <c r="D57" s="477" t="s">
        <v>455</v>
      </c>
      <c r="E57" s="486">
        <v>1218013</v>
      </c>
      <c r="F57" s="554" t="s">
        <v>147</v>
      </c>
      <c r="G57" s="487" t="s">
        <v>482</v>
      </c>
      <c r="H57" s="501" t="s">
        <v>72</v>
      </c>
      <c r="I57" s="502">
        <v>0.40114</v>
      </c>
      <c r="J57" s="369" t="s">
        <v>941</v>
      </c>
      <c r="K57" s="460">
        <v>3604963.22</v>
      </c>
      <c r="L57" s="546">
        <v>2343226</v>
      </c>
      <c r="M57" s="548">
        <v>1261737.2200000002</v>
      </c>
      <c r="N57" s="555">
        <v>0.65</v>
      </c>
      <c r="O57" s="469"/>
      <c r="P57" s="469"/>
      <c r="Q57" s="469"/>
      <c r="R57" s="470">
        <v>438513</v>
      </c>
      <c r="S57" s="470">
        <v>404713</v>
      </c>
      <c r="T57" s="556">
        <v>1500000</v>
      </c>
      <c r="U57" s="530"/>
      <c r="V57" s="530"/>
      <c r="W57" s="530"/>
      <c r="X57" s="530"/>
      <c r="Y57" s="156" t="b">
        <f t="shared" si="8"/>
        <v>1</v>
      </c>
      <c r="Z57" s="353">
        <f t="shared" si="9"/>
        <v>0.65</v>
      </c>
      <c r="AA57" s="156" t="b">
        <f t="shared" si="6"/>
        <v>1</v>
      </c>
      <c r="AB57" s="185" t="b">
        <f t="shared" si="7"/>
        <v>1</v>
      </c>
    </row>
    <row r="58" spans="1:28" s="179" customFormat="1" ht="45">
      <c r="A58" s="490">
        <v>56</v>
      </c>
      <c r="B58" s="327" t="s">
        <v>403</v>
      </c>
      <c r="C58" s="492" t="s">
        <v>314</v>
      </c>
      <c r="D58" s="327" t="s">
        <v>456</v>
      </c>
      <c r="E58" s="322">
        <v>1206082</v>
      </c>
      <c r="F58" s="328" t="s">
        <v>130</v>
      </c>
      <c r="G58" s="329" t="s">
        <v>959</v>
      </c>
      <c r="H58" s="330" t="s">
        <v>74</v>
      </c>
      <c r="I58" s="331">
        <v>0.85</v>
      </c>
      <c r="J58" s="327" t="s">
        <v>483</v>
      </c>
      <c r="K58" s="497">
        <v>3206800.75</v>
      </c>
      <c r="L58" s="557">
        <v>1603400</v>
      </c>
      <c r="M58" s="558">
        <v>1603400.75</v>
      </c>
      <c r="N58" s="559">
        <v>0.5</v>
      </c>
      <c r="O58" s="560"/>
      <c r="P58" s="560"/>
      <c r="Q58" s="560"/>
      <c r="R58" s="481">
        <v>1603400</v>
      </c>
      <c r="S58" s="481"/>
      <c r="T58" s="561"/>
      <c r="U58" s="553"/>
      <c r="V58" s="553"/>
      <c r="W58" s="553"/>
      <c r="X58" s="553"/>
      <c r="Y58" s="156" t="b">
        <f t="shared" si="8"/>
        <v>1</v>
      </c>
      <c r="Z58" s="353">
        <f t="shared" si="9"/>
        <v>0.5</v>
      </c>
      <c r="AA58" s="156" t="b">
        <f t="shared" si="6"/>
        <v>1</v>
      </c>
      <c r="AB58" s="185" t="b">
        <f t="shared" si="7"/>
        <v>1</v>
      </c>
    </row>
    <row r="59" spans="1:28" s="157" customFormat="1" ht="90">
      <c r="A59" s="453">
        <v>57</v>
      </c>
      <c r="B59" s="477" t="s">
        <v>404</v>
      </c>
      <c r="C59" s="455" t="s">
        <v>313</v>
      </c>
      <c r="D59" s="477" t="s">
        <v>284</v>
      </c>
      <c r="E59" s="486">
        <v>1263000</v>
      </c>
      <c r="F59" s="554" t="s">
        <v>161</v>
      </c>
      <c r="G59" s="487" t="s">
        <v>484</v>
      </c>
      <c r="H59" s="501" t="s">
        <v>72</v>
      </c>
      <c r="I59" s="502">
        <v>0.6178</v>
      </c>
      <c r="J59" s="369" t="s">
        <v>954</v>
      </c>
      <c r="K59" s="460">
        <v>6155664.95</v>
      </c>
      <c r="L59" s="546">
        <v>3077832</v>
      </c>
      <c r="M59" s="548">
        <v>3077832.95</v>
      </c>
      <c r="N59" s="555">
        <v>0.5</v>
      </c>
      <c r="O59" s="469"/>
      <c r="P59" s="469"/>
      <c r="Q59" s="469"/>
      <c r="R59" s="470">
        <v>796802</v>
      </c>
      <c r="S59" s="470">
        <v>281030</v>
      </c>
      <c r="T59" s="556">
        <v>2000000</v>
      </c>
      <c r="U59" s="530"/>
      <c r="V59" s="530"/>
      <c r="W59" s="530"/>
      <c r="X59" s="530"/>
      <c r="Y59" s="156" t="b">
        <f t="shared" si="8"/>
        <v>1</v>
      </c>
      <c r="Z59" s="353">
        <f t="shared" si="9"/>
        <v>0.5</v>
      </c>
      <c r="AA59" s="156" t="b">
        <f t="shared" si="6"/>
        <v>1</v>
      </c>
      <c r="AB59" s="185" t="b">
        <f t="shared" si="7"/>
        <v>1</v>
      </c>
    </row>
    <row r="60" spans="1:28" s="179" customFormat="1" ht="60">
      <c r="A60" s="490">
        <v>58</v>
      </c>
      <c r="B60" s="327" t="s">
        <v>405</v>
      </c>
      <c r="C60" s="492" t="s">
        <v>314</v>
      </c>
      <c r="D60" s="327" t="s">
        <v>453</v>
      </c>
      <c r="E60" s="322">
        <v>1216082</v>
      </c>
      <c r="F60" s="328" t="s">
        <v>161</v>
      </c>
      <c r="G60" s="329" t="s">
        <v>485</v>
      </c>
      <c r="H60" s="330" t="s">
        <v>72</v>
      </c>
      <c r="I60" s="331">
        <v>0.56121</v>
      </c>
      <c r="J60" s="508" t="s">
        <v>476</v>
      </c>
      <c r="K60" s="497">
        <v>1601165.78</v>
      </c>
      <c r="L60" s="557">
        <v>960699</v>
      </c>
      <c r="M60" s="558">
        <v>640466.78</v>
      </c>
      <c r="N60" s="559">
        <v>0.6</v>
      </c>
      <c r="O60" s="560"/>
      <c r="P60" s="560"/>
      <c r="Q60" s="560"/>
      <c r="R60" s="481">
        <v>960699</v>
      </c>
      <c r="S60" s="481"/>
      <c r="T60" s="561"/>
      <c r="U60" s="553"/>
      <c r="V60" s="553"/>
      <c r="W60" s="553"/>
      <c r="X60" s="553"/>
      <c r="Y60" s="156" t="b">
        <f t="shared" si="8"/>
        <v>1</v>
      </c>
      <c r="Z60" s="353">
        <f t="shared" si="9"/>
        <v>0.6</v>
      </c>
      <c r="AA60" s="156" t="b">
        <f t="shared" si="6"/>
        <v>1</v>
      </c>
      <c r="AB60" s="185" t="b">
        <f t="shared" si="7"/>
        <v>1</v>
      </c>
    </row>
    <row r="61" spans="1:28" s="179" customFormat="1" ht="105">
      <c r="A61" s="490">
        <v>59</v>
      </c>
      <c r="B61" s="327" t="s">
        <v>406</v>
      </c>
      <c r="C61" s="492" t="s">
        <v>314</v>
      </c>
      <c r="D61" s="327" t="s">
        <v>134</v>
      </c>
      <c r="E61" s="322">
        <v>1211011</v>
      </c>
      <c r="F61" s="328" t="s">
        <v>128</v>
      </c>
      <c r="G61" s="329" t="s">
        <v>486</v>
      </c>
      <c r="H61" s="330" t="s">
        <v>72</v>
      </c>
      <c r="I61" s="331">
        <v>0.3541</v>
      </c>
      <c r="J61" s="508" t="s">
        <v>301</v>
      </c>
      <c r="K61" s="497">
        <v>3507682.32</v>
      </c>
      <c r="L61" s="557">
        <v>2104609</v>
      </c>
      <c r="M61" s="558">
        <v>1403073.3199999998</v>
      </c>
      <c r="N61" s="559">
        <v>0.6</v>
      </c>
      <c r="O61" s="560"/>
      <c r="P61" s="560"/>
      <c r="Q61" s="560"/>
      <c r="R61" s="481">
        <v>2104609</v>
      </c>
      <c r="S61" s="481"/>
      <c r="T61" s="561"/>
      <c r="U61" s="553"/>
      <c r="V61" s="553"/>
      <c r="W61" s="553"/>
      <c r="X61" s="553"/>
      <c r="Y61" s="156" t="b">
        <f t="shared" si="8"/>
        <v>1</v>
      </c>
      <c r="Z61" s="353">
        <f t="shared" si="9"/>
        <v>0.6</v>
      </c>
      <c r="AA61" s="156" t="b">
        <f t="shared" si="6"/>
        <v>1</v>
      </c>
      <c r="AB61" s="185" t="b">
        <f t="shared" si="7"/>
        <v>1</v>
      </c>
    </row>
    <row r="62" spans="1:28" s="157" customFormat="1" ht="75">
      <c r="A62" s="453">
        <v>60</v>
      </c>
      <c r="B62" s="477" t="s">
        <v>407</v>
      </c>
      <c r="C62" s="455" t="s">
        <v>313</v>
      </c>
      <c r="D62" s="477" t="s">
        <v>286</v>
      </c>
      <c r="E62" s="486">
        <v>1219053</v>
      </c>
      <c r="F62" s="554" t="s">
        <v>150</v>
      </c>
      <c r="G62" s="487" t="s">
        <v>987</v>
      </c>
      <c r="H62" s="501" t="s">
        <v>74</v>
      </c>
      <c r="I62" s="502">
        <v>2.13</v>
      </c>
      <c r="J62" s="369" t="s">
        <v>974</v>
      </c>
      <c r="K62" s="460">
        <v>13363732.26</v>
      </c>
      <c r="L62" s="546">
        <v>6681866</v>
      </c>
      <c r="M62" s="548">
        <v>6681866.26</v>
      </c>
      <c r="N62" s="555">
        <v>0.5</v>
      </c>
      <c r="O62" s="469"/>
      <c r="P62" s="469"/>
      <c r="Q62" s="469"/>
      <c r="R62" s="470">
        <v>4023990</v>
      </c>
      <c r="S62" s="470">
        <v>2657876</v>
      </c>
      <c r="T62" s="556"/>
      <c r="U62" s="530"/>
      <c r="V62" s="530"/>
      <c r="W62" s="530"/>
      <c r="X62" s="530"/>
      <c r="Y62" s="156" t="b">
        <f t="shared" si="8"/>
        <v>1</v>
      </c>
      <c r="Z62" s="353">
        <f t="shared" si="9"/>
        <v>0.5</v>
      </c>
      <c r="AA62" s="156" t="b">
        <f t="shared" si="6"/>
        <v>1</v>
      </c>
      <c r="AB62" s="185" t="b">
        <f t="shared" si="7"/>
        <v>1</v>
      </c>
    </row>
    <row r="63" spans="1:28" s="157" customFormat="1" ht="60">
      <c r="A63" s="453">
        <v>61</v>
      </c>
      <c r="B63" s="477" t="s">
        <v>408</v>
      </c>
      <c r="C63" s="455" t="s">
        <v>313</v>
      </c>
      <c r="D63" s="477" t="s">
        <v>163</v>
      </c>
      <c r="E63" s="486">
        <v>1218033</v>
      </c>
      <c r="F63" s="554" t="s">
        <v>147</v>
      </c>
      <c r="G63" s="487" t="s">
        <v>487</v>
      </c>
      <c r="H63" s="501" t="s">
        <v>74</v>
      </c>
      <c r="I63" s="502">
        <v>0.315</v>
      </c>
      <c r="J63" s="369" t="s">
        <v>935</v>
      </c>
      <c r="K63" s="460">
        <v>6442832.29</v>
      </c>
      <c r="L63" s="546">
        <v>3865699</v>
      </c>
      <c r="M63" s="548">
        <v>2577133.29</v>
      </c>
      <c r="N63" s="555">
        <v>0.6</v>
      </c>
      <c r="O63" s="469"/>
      <c r="P63" s="469"/>
      <c r="Q63" s="469"/>
      <c r="R63" s="470">
        <v>1089969</v>
      </c>
      <c r="S63" s="470">
        <v>775730</v>
      </c>
      <c r="T63" s="556">
        <v>2000000</v>
      </c>
      <c r="U63" s="530"/>
      <c r="V63" s="530"/>
      <c r="W63" s="530"/>
      <c r="X63" s="530"/>
      <c r="Y63" s="156" t="b">
        <f t="shared" si="8"/>
        <v>1</v>
      </c>
      <c r="Z63" s="353">
        <f t="shared" si="9"/>
        <v>0.6</v>
      </c>
      <c r="AA63" s="156" t="b">
        <f t="shared" si="6"/>
        <v>1</v>
      </c>
      <c r="AB63" s="185" t="b">
        <f t="shared" si="7"/>
        <v>1</v>
      </c>
    </row>
    <row r="64" spans="1:28" s="179" customFormat="1" ht="45">
      <c r="A64" s="490">
        <v>62</v>
      </c>
      <c r="B64" s="327" t="s">
        <v>409</v>
      </c>
      <c r="C64" s="492" t="s">
        <v>314</v>
      </c>
      <c r="D64" s="327" t="s">
        <v>285</v>
      </c>
      <c r="E64" s="322">
        <v>1217032</v>
      </c>
      <c r="F64" s="328" t="s">
        <v>139</v>
      </c>
      <c r="G64" s="329" t="s">
        <v>488</v>
      </c>
      <c r="H64" s="330" t="s">
        <v>77</v>
      </c>
      <c r="I64" s="331">
        <v>4.137</v>
      </c>
      <c r="J64" s="508" t="s">
        <v>302</v>
      </c>
      <c r="K64" s="497">
        <v>6711363.2</v>
      </c>
      <c r="L64" s="557">
        <v>3355681</v>
      </c>
      <c r="M64" s="558">
        <v>3355682.2</v>
      </c>
      <c r="N64" s="559">
        <v>0.5</v>
      </c>
      <c r="O64" s="560"/>
      <c r="P64" s="560"/>
      <c r="Q64" s="560"/>
      <c r="R64" s="481">
        <v>3355681</v>
      </c>
      <c r="S64" s="481"/>
      <c r="T64" s="561"/>
      <c r="U64" s="553"/>
      <c r="V64" s="553"/>
      <c r="W64" s="553"/>
      <c r="X64" s="553"/>
      <c r="Y64" s="156" t="b">
        <f t="shared" si="8"/>
        <v>1</v>
      </c>
      <c r="Z64" s="353">
        <f t="shared" si="9"/>
        <v>0.5</v>
      </c>
      <c r="AA64" s="156" t="b">
        <f t="shared" si="6"/>
        <v>1</v>
      </c>
      <c r="AB64" s="185" t="b">
        <f t="shared" si="7"/>
        <v>1</v>
      </c>
    </row>
    <row r="65" spans="1:28" s="179" customFormat="1" ht="90">
      <c r="A65" s="490">
        <v>63</v>
      </c>
      <c r="B65" s="327" t="s">
        <v>410</v>
      </c>
      <c r="C65" s="492" t="s">
        <v>314</v>
      </c>
      <c r="D65" s="327" t="s">
        <v>457</v>
      </c>
      <c r="E65" s="322">
        <v>1206152</v>
      </c>
      <c r="F65" s="328" t="s">
        <v>130</v>
      </c>
      <c r="G65" s="329" t="s">
        <v>489</v>
      </c>
      <c r="H65" s="330" t="s">
        <v>72</v>
      </c>
      <c r="I65" s="331">
        <v>0.63645</v>
      </c>
      <c r="J65" s="508" t="s">
        <v>301</v>
      </c>
      <c r="K65" s="497">
        <v>3558946.09</v>
      </c>
      <c r="L65" s="557">
        <v>1779473</v>
      </c>
      <c r="M65" s="558">
        <v>1779473.0899999999</v>
      </c>
      <c r="N65" s="559">
        <v>0.5</v>
      </c>
      <c r="O65" s="560"/>
      <c r="P65" s="560"/>
      <c r="Q65" s="560"/>
      <c r="R65" s="481">
        <v>1779473</v>
      </c>
      <c r="S65" s="481"/>
      <c r="T65" s="561"/>
      <c r="U65" s="553"/>
      <c r="V65" s="553"/>
      <c r="W65" s="553"/>
      <c r="X65" s="553"/>
      <c r="Y65" s="156" t="b">
        <f t="shared" si="8"/>
        <v>1</v>
      </c>
      <c r="Z65" s="353">
        <f t="shared" si="9"/>
        <v>0.5</v>
      </c>
      <c r="AA65" s="156" t="b">
        <f t="shared" si="6"/>
        <v>1</v>
      </c>
      <c r="AB65" s="185" t="b">
        <f t="shared" si="7"/>
        <v>1</v>
      </c>
    </row>
    <row r="66" spans="1:28" s="157" customFormat="1" ht="60">
      <c r="A66" s="453">
        <v>64</v>
      </c>
      <c r="B66" s="477" t="s">
        <v>411</v>
      </c>
      <c r="C66" s="455" t="s">
        <v>313</v>
      </c>
      <c r="D66" s="477" t="s">
        <v>210</v>
      </c>
      <c r="E66" s="486">
        <v>1201072</v>
      </c>
      <c r="F66" s="554" t="s">
        <v>176</v>
      </c>
      <c r="G66" s="487" t="s">
        <v>490</v>
      </c>
      <c r="H66" s="501" t="s">
        <v>72</v>
      </c>
      <c r="I66" s="502">
        <v>0.22582</v>
      </c>
      <c r="J66" s="369" t="s">
        <v>942</v>
      </c>
      <c r="K66" s="460">
        <v>1405017.34</v>
      </c>
      <c r="L66" s="546">
        <v>913261</v>
      </c>
      <c r="M66" s="548">
        <v>491756.3400000001</v>
      </c>
      <c r="N66" s="555">
        <v>0.65</v>
      </c>
      <c r="O66" s="469"/>
      <c r="P66" s="469"/>
      <c r="Q66" s="469"/>
      <c r="R66" s="470">
        <v>323645</v>
      </c>
      <c r="S66" s="470">
        <v>389616</v>
      </c>
      <c r="T66" s="556">
        <v>200000</v>
      </c>
      <c r="U66" s="530"/>
      <c r="V66" s="530"/>
      <c r="W66" s="530"/>
      <c r="X66" s="530"/>
      <c r="Y66" s="156" t="b">
        <f t="shared" si="8"/>
        <v>1</v>
      </c>
      <c r="Z66" s="353">
        <f t="shared" si="9"/>
        <v>0.65</v>
      </c>
      <c r="AA66" s="156" t="b">
        <f t="shared" si="6"/>
        <v>1</v>
      </c>
      <c r="AB66" s="185" t="b">
        <f t="shared" si="7"/>
        <v>1</v>
      </c>
    </row>
    <row r="67" spans="1:28" s="157" customFormat="1" ht="45">
      <c r="A67" s="453">
        <v>65</v>
      </c>
      <c r="B67" s="477" t="s">
        <v>412</v>
      </c>
      <c r="C67" s="455" t="s">
        <v>313</v>
      </c>
      <c r="D67" s="477" t="s">
        <v>189</v>
      </c>
      <c r="E67" s="486">
        <v>1212073</v>
      </c>
      <c r="F67" s="554" t="s">
        <v>167</v>
      </c>
      <c r="G67" s="487" t="s">
        <v>491</v>
      </c>
      <c r="H67" s="501" t="s">
        <v>74</v>
      </c>
      <c r="I67" s="502">
        <v>5</v>
      </c>
      <c r="J67" s="477" t="s">
        <v>492</v>
      </c>
      <c r="K67" s="460">
        <v>16914345.21</v>
      </c>
      <c r="L67" s="546">
        <v>10148607</v>
      </c>
      <c r="M67" s="548">
        <v>6765738.210000001</v>
      </c>
      <c r="N67" s="555">
        <v>0.6</v>
      </c>
      <c r="O67" s="469"/>
      <c r="P67" s="469"/>
      <c r="Q67" s="469"/>
      <c r="R67" s="470">
        <v>1500000</v>
      </c>
      <c r="S67" s="470">
        <v>1478586</v>
      </c>
      <c r="T67" s="556">
        <v>7170021</v>
      </c>
      <c r="U67" s="530"/>
      <c r="V67" s="530"/>
      <c r="W67" s="530"/>
      <c r="X67" s="530"/>
      <c r="Y67" s="156" t="b">
        <f t="shared" si="8"/>
        <v>1</v>
      </c>
      <c r="Z67" s="353">
        <f t="shared" si="9"/>
        <v>0.6</v>
      </c>
      <c r="AA67" s="156" t="b">
        <f aca="true" t="shared" si="10" ref="AA67:AA98">Z67=N67</f>
        <v>1</v>
      </c>
      <c r="AB67" s="185" t="b">
        <f aca="true" t="shared" si="11" ref="AB67:AB98">K67=L67+M67</f>
        <v>1</v>
      </c>
    </row>
    <row r="68" spans="1:28" s="157" customFormat="1" ht="60">
      <c r="A68" s="453">
        <v>66</v>
      </c>
      <c r="B68" s="477" t="s">
        <v>413</v>
      </c>
      <c r="C68" s="455" t="s">
        <v>313</v>
      </c>
      <c r="D68" s="477" t="s">
        <v>156</v>
      </c>
      <c r="E68" s="486">
        <v>1206162</v>
      </c>
      <c r="F68" s="554" t="s">
        <v>130</v>
      </c>
      <c r="G68" s="487" t="s">
        <v>493</v>
      </c>
      <c r="H68" s="501" t="s">
        <v>74</v>
      </c>
      <c r="I68" s="502">
        <v>0.761</v>
      </c>
      <c r="J68" s="369" t="s">
        <v>943</v>
      </c>
      <c r="K68" s="460">
        <v>2124459.23</v>
      </c>
      <c r="L68" s="546">
        <v>1062229</v>
      </c>
      <c r="M68" s="548">
        <v>1062230.23</v>
      </c>
      <c r="N68" s="555">
        <v>0.5</v>
      </c>
      <c r="O68" s="469"/>
      <c r="P68" s="469"/>
      <c r="Q68" s="469"/>
      <c r="R68" s="470">
        <v>263409</v>
      </c>
      <c r="S68" s="470">
        <v>298819</v>
      </c>
      <c r="T68" s="556">
        <v>500001</v>
      </c>
      <c r="U68" s="530"/>
      <c r="V68" s="530"/>
      <c r="W68" s="530"/>
      <c r="X68" s="530"/>
      <c r="Y68" s="156" t="b">
        <f t="shared" si="8"/>
        <v>1</v>
      </c>
      <c r="Z68" s="353">
        <f t="shared" si="9"/>
        <v>0.5</v>
      </c>
      <c r="AA68" s="156" t="b">
        <f t="shared" si="10"/>
        <v>1</v>
      </c>
      <c r="AB68" s="185" t="b">
        <f t="shared" si="11"/>
        <v>1</v>
      </c>
    </row>
    <row r="69" spans="1:28" s="179" customFormat="1" ht="90">
      <c r="A69" s="490">
        <v>67</v>
      </c>
      <c r="B69" s="327" t="s">
        <v>414</v>
      </c>
      <c r="C69" s="492" t="s">
        <v>314</v>
      </c>
      <c r="D69" s="327" t="s">
        <v>287</v>
      </c>
      <c r="E69" s="322">
        <v>1210102</v>
      </c>
      <c r="F69" s="328" t="s">
        <v>162</v>
      </c>
      <c r="G69" s="329" t="s">
        <v>494</v>
      </c>
      <c r="H69" s="330" t="s">
        <v>74</v>
      </c>
      <c r="I69" s="331">
        <v>0.5711</v>
      </c>
      <c r="J69" s="508" t="s">
        <v>303</v>
      </c>
      <c r="K69" s="497">
        <v>2105306.75</v>
      </c>
      <c r="L69" s="557">
        <v>1263184</v>
      </c>
      <c r="M69" s="558">
        <v>842122.75</v>
      </c>
      <c r="N69" s="559">
        <v>0.6</v>
      </c>
      <c r="O69" s="560"/>
      <c r="P69" s="560"/>
      <c r="Q69" s="560"/>
      <c r="R69" s="481">
        <v>1263184</v>
      </c>
      <c r="S69" s="481"/>
      <c r="T69" s="561"/>
      <c r="U69" s="553"/>
      <c r="V69" s="553"/>
      <c r="W69" s="553"/>
      <c r="X69" s="553"/>
      <c r="Y69" s="156" t="b">
        <f t="shared" si="8"/>
        <v>1</v>
      </c>
      <c r="Z69" s="353">
        <f t="shared" si="9"/>
        <v>0.6</v>
      </c>
      <c r="AA69" s="156" t="b">
        <f t="shared" si="10"/>
        <v>1</v>
      </c>
      <c r="AB69" s="185" t="b">
        <f t="shared" si="11"/>
        <v>1</v>
      </c>
    </row>
    <row r="70" spans="1:28" s="157" customFormat="1" ht="105">
      <c r="A70" s="453">
        <v>68</v>
      </c>
      <c r="B70" s="477" t="s">
        <v>416</v>
      </c>
      <c r="C70" s="455" t="s">
        <v>313</v>
      </c>
      <c r="D70" s="477" t="s">
        <v>138</v>
      </c>
      <c r="E70" s="486">
        <v>1217042</v>
      </c>
      <c r="F70" s="554" t="s">
        <v>139</v>
      </c>
      <c r="G70" s="487" t="s">
        <v>497</v>
      </c>
      <c r="H70" s="501" t="s">
        <v>77</v>
      </c>
      <c r="I70" s="502">
        <v>2.45</v>
      </c>
      <c r="J70" s="369" t="s">
        <v>779</v>
      </c>
      <c r="K70" s="460">
        <v>3773877.42</v>
      </c>
      <c r="L70" s="546">
        <v>1886938</v>
      </c>
      <c r="M70" s="548">
        <v>1886939.42</v>
      </c>
      <c r="N70" s="555">
        <v>0.5</v>
      </c>
      <c r="O70" s="469"/>
      <c r="P70" s="469"/>
      <c r="Q70" s="469"/>
      <c r="R70" s="470">
        <v>902313</v>
      </c>
      <c r="S70" s="470">
        <v>334625</v>
      </c>
      <c r="T70" s="556">
        <v>650000</v>
      </c>
      <c r="U70" s="530"/>
      <c r="V70" s="530"/>
      <c r="W70" s="530"/>
      <c r="X70" s="530"/>
      <c r="Y70" s="156" t="b">
        <f t="shared" si="8"/>
        <v>1</v>
      </c>
      <c r="Z70" s="353">
        <f t="shared" si="9"/>
        <v>0.5</v>
      </c>
      <c r="AA70" s="156" t="b">
        <f t="shared" si="10"/>
        <v>1</v>
      </c>
      <c r="AB70" s="185" t="b">
        <f t="shared" si="11"/>
        <v>1</v>
      </c>
    </row>
    <row r="71" spans="1:28" s="157" customFormat="1" ht="45">
      <c r="A71" s="453">
        <v>69</v>
      </c>
      <c r="B71" s="477" t="s">
        <v>417</v>
      </c>
      <c r="C71" s="455" t="s">
        <v>313</v>
      </c>
      <c r="D71" s="477" t="s">
        <v>213</v>
      </c>
      <c r="E71" s="486">
        <v>1216162</v>
      </c>
      <c r="F71" s="554" t="s">
        <v>161</v>
      </c>
      <c r="G71" s="487" t="s">
        <v>498</v>
      </c>
      <c r="H71" s="501" t="s">
        <v>72</v>
      </c>
      <c r="I71" s="502">
        <v>0.7445</v>
      </c>
      <c r="J71" s="477" t="s">
        <v>934</v>
      </c>
      <c r="K71" s="460">
        <v>2963613.46</v>
      </c>
      <c r="L71" s="546">
        <v>1778168</v>
      </c>
      <c r="M71" s="548">
        <v>1185445.46</v>
      </c>
      <c r="N71" s="555">
        <v>0.6</v>
      </c>
      <c r="O71" s="469"/>
      <c r="P71" s="469"/>
      <c r="Q71" s="469"/>
      <c r="R71" s="470">
        <v>142761</v>
      </c>
      <c r="S71" s="470">
        <v>293991</v>
      </c>
      <c r="T71" s="556">
        <v>1341416</v>
      </c>
      <c r="U71" s="530"/>
      <c r="V71" s="530"/>
      <c r="W71" s="530"/>
      <c r="X71" s="530"/>
      <c r="Y71" s="156" t="b">
        <f t="shared" si="8"/>
        <v>1</v>
      </c>
      <c r="Z71" s="353">
        <f t="shared" si="9"/>
        <v>0.6</v>
      </c>
      <c r="AA71" s="156" t="b">
        <f t="shared" si="10"/>
        <v>1</v>
      </c>
      <c r="AB71" s="185" t="b">
        <f t="shared" si="11"/>
        <v>1</v>
      </c>
    </row>
    <row r="72" spans="1:28" s="157" customFormat="1" ht="90">
      <c r="A72" s="453">
        <v>70</v>
      </c>
      <c r="B72" s="477" t="s">
        <v>418</v>
      </c>
      <c r="C72" s="455" t="s">
        <v>313</v>
      </c>
      <c r="D72" s="477" t="s">
        <v>288</v>
      </c>
      <c r="E72" s="486">
        <v>1207092</v>
      </c>
      <c r="F72" s="554" t="s">
        <v>298</v>
      </c>
      <c r="G72" s="487" t="s">
        <v>499</v>
      </c>
      <c r="H72" s="501" t="s">
        <v>72</v>
      </c>
      <c r="I72" s="502">
        <v>0.6718</v>
      </c>
      <c r="J72" s="369" t="s">
        <v>500</v>
      </c>
      <c r="K72" s="460">
        <v>2905473.64</v>
      </c>
      <c r="L72" s="546">
        <v>1743284</v>
      </c>
      <c r="M72" s="548">
        <v>1162189.6400000001</v>
      </c>
      <c r="N72" s="555">
        <v>0.6</v>
      </c>
      <c r="O72" s="469"/>
      <c r="P72" s="469"/>
      <c r="Q72" s="469"/>
      <c r="R72" s="470">
        <v>543122</v>
      </c>
      <c r="S72" s="470">
        <v>1200162</v>
      </c>
      <c r="T72" s="556"/>
      <c r="U72" s="530"/>
      <c r="V72" s="530"/>
      <c r="W72" s="530"/>
      <c r="X72" s="530"/>
      <c r="Y72" s="156" t="b">
        <f t="shared" si="8"/>
        <v>1</v>
      </c>
      <c r="Z72" s="353">
        <f t="shared" si="9"/>
        <v>0.6</v>
      </c>
      <c r="AA72" s="156" t="b">
        <f t="shared" si="10"/>
        <v>1</v>
      </c>
      <c r="AB72" s="185" t="b">
        <f t="shared" si="11"/>
        <v>1</v>
      </c>
    </row>
    <row r="73" spans="1:28" s="179" customFormat="1" ht="60">
      <c r="A73" s="490">
        <v>71</v>
      </c>
      <c r="B73" s="327" t="s">
        <v>419</v>
      </c>
      <c r="C73" s="492" t="s">
        <v>314</v>
      </c>
      <c r="D73" s="327" t="s">
        <v>133</v>
      </c>
      <c r="E73" s="322">
        <v>1206063</v>
      </c>
      <c r="F73" s="328" t="s">
        <v>130</v>
      </c>
      <c r="G73" s="329" t="s">
        <v>501</v>
      </c>
      <c r="H73" s="330" t="s">
        <v>74</v>
      </c>
      <c r="I73" s="331">
        <v>3.0961</v>
      </c>
      <c r="J73" s="327" t="s">
        <v>496</v>
      </c>
      <c r="K73" s="497">
        <v>1102807.48</v>
      </c>
      <c r="L73" s="557">
        <v>661684</v>
      </c>
      <c r="M73" s="558">
        <v>441123.48</v>
      </c>
      <c r="N73" s="559">
        <v>0.6</v>
      </c>
      <c r="O73" s="560"/>
      <c r="P73" s="560"/>
      <c r="Q73" s="560"/>
      <c r="R73" s="481">
        <v>661684</v>
      </c>
      <c r="S73" s="481"/>
      <c r="T73" s="561"/>
      <c r="U73" s="553"/>
      <c r="V73" s="553"/>
      <c r="W73" s="553"/>
      <c r="X73" s="553"/>
      <c r="Y73" s="156" t="b">
        <f t="shared" si="8"/>
        <v>1</v>
      </c>
      <c r="Z73" s="353">
        <f aca="true" t="shared" si="12" ref="Z73:Z104">ROUND(L73/K73,4)</f>
        <v>0.6</v>
      </c>
      <c r="AA73" s="156" t="b">
        <f t="shared" si="10"/>
        <v>1</v>
      </c>
      <c r="AB73" s="185" t="b">
        <f t="shared" si="11"/>
        <v>1</v>
      </c>
    </row>
    <row r="74" spans="1:28" s="157" customFormat="1" ht="60">
      <c r="A74" s="453">
        <v>72</v>
      </c>
      <c r="B74" s="477" t="s">
        <v>420</v>
      </c>
      <c r="C74" s="455" t="s">
        <v>313</v>
      </c>
      <c r="D74" s="477" t="s">
        <v>149</v>
      </c>
      <c r="E74" s="486">
        <v>1219012</v>
      </c>
      <c r="F74" s="554" t="s">
        <v>150</v>
      </c>
      <c r="G74" s="487" t="s">
        <v>502</v>
      </c>
      <c r="H74" s="501" t="s">
        <v>74</v>
      </c>
      <c r="I74" s="502">
        <v>0.96</v>
      </c>
      <c r="J74" s="369" t="s">
        <v>306</v>
      </c>
      <c r="K74" s="460">
        <v>4260421.68</v>
      </c>
      <c r="L74" s="546">
        <v>2769274</v>
      </c>
      <c r="M74" s="548">
        <v>1491147.6799999997</v>
      </c>
      <c r="N74" s="555">
        <v>0.65</v>
      </c>
      <c r="O74" s="469"/>
      <c r="P74" s="469"/>
      <c r="Q74" s="469"/>
      <c r="R74" s="470">
        <v>195066</v>
      </c>
      <c r="S74" s="470">
        <v>2574208</v>
      </c>
      <c r="T74" s="556"/>
      <c r="U74" s="530"/>
      <c r="V74" s="530"/>
      <c r="W74" s="530"/>
      <c r="X74" s="530"/>
      <c r="Y74" s="156" t="b">
        <f t="shared" si="8"/>
        <v>1</v>
      </c>
      <c r="Z74" s="353">
        <f t="shared" si="12"/>
        <v>0.65</v>
      </c>
      <c r="AA74" s="156" t="b">
        <f t="shared" si="10"/>
        <v>1</v>
      </c>
      <c r="AB74" s="185" t="b">
        <f t="shared" si="11"/>
        <v>1</v>
      </c>
    </row>
    <row r="75" spans="1:28" s="179" customFormat="1" ht="75">
      <c r="A75" s="490">
        <v>73</v>
      </c>
      <c r="B75" s="327" t="s">
        <v>421</v>
      </c>
      <c r="C75" s="492" t="s">
        <v>314</v>
      </c>
      <c r="D75" s="327" t="s">
        <v>289</v>
      </c>
      <c r="E75" s="322">
        <v>1211112</v>
      </c>
      <c r="F75" s="328" t="s">
        <v>128</v>
      </c>
      <c r="G75" s="329" t="s">
        <v>503</v>
      </c>
      <c r="H75" s="330" t="s">
        <v>74</v>
      </c>
      <c r="I75" s="331">
        <v>0.02025</v>
      </c>
      <c r="J75" s="327" t="s">
        <v>305</v>
      </c>
      <c r="K75" s="497">
        <v>1364571.8</v>
      </c>
      <c r="L75" s="557">
        <v>886971</v>
      </c>
      <c r="M75" s="558">
        <v>477600.80000000005</v>
      </c>
      <c r="N75" s="559">
        <v>0.65</v>
      </c>
      <c r="O75" s="560"/>
      <c r="P75" s="560"/>
      <c r="Q75" s="560"/>
      <c r="R75" s="481">
        <v>886971</v>
      </c>
      <c r="S75" s="481"/>
      <c r="T75" s="561"/>
      <c r="U75" s="553"/>
      <c r="V75" s="553"/>
      <c r="W75" s="553"/>
      <c r="X75" s="553"/>
      <c r="Y75" s="156" t="b">
        <f t="shared" si="8"/>
        <v>1</v>
      </c>
      <c r="Z75" s="353">
        <f t="shared" si="12"/>
        <v>0.65</v>
      </c>
      <c r="AA75" s="156" t="b">
        <f t="shared" si="10"/>
        <v>1</v>
      </c>
      <c r="AB75" s="185" t="b">
        <f t="shared" si="11"/>
        <v>1</v>
      </c>
    </row>
    <row r="76" spans="1:28" s="157" customFormat="1" ht="90">
      <c r="A76" s="453">
        <v>74</v>
      </c>
      <c r="B76" s="477" t="s">
        <v>423</v>
      </c>
      <c r="C76" s="455" t="s">
        <v>313</v>
      </c>
      <c r="D76" s="477" t="s">
        <v>458</v>
      </c>
      <c r="E76" s="486">
        <v>1203013</v>
      </c>
      <c r="F76" s="554" t="s">
        <v>174</v>
      </c>
      <c r="G76" s="487" t="s">
        <v>505</v>
      </c>
      <c r="H76" s="501" t="s">
        <v>74</v>
      </c>
      <c r="I76" s="502">
        <v>1.4176</v>
      </c>
      <c r="J76" s="369" t="s">
        <v>956</v>
      </c>
      <c r="K76" s="460">
        <v>2933065.55</v>
      </c>
      <c r="L76" s="546">
        <v>1759839</v>
      </c>
      <c r="M76" s="548">
        <v>1173226.5499999998</v>
      </c>
      <c r="N76" s="555">
        <v>0.6</v>
      </c>
      <c r="O76" s="469"/>
      <c r="P76" s="469"/>
      <c r="Q76" s="469"/>
      <c r="R76" s="470">
        <v>615008</v>
      </c>
      <c r="S76" s="470">
        <v>194831</v>
      </c>
      <c r="T76" s="556">
        <v>950000</v>
      </c>
      <c r="U76" s="530"/>
      <c r="V76" s="530"/>
      <c r="W76" s="530"/>
      <c r="X76" s="530"/>
      <c r="Y76" s="156" t="b">
        <f t="shared" si="8"/>
        <v>1</v>
      </c>
      <c r="Z76" s="353">
        <f t="shared" si="12"/>
        <v>0.6</v>
      </c>
      <c r="AA76" s="156" t="b">
        <f t="shared" si="10"/>
        <v>1</v>
      </c>
      <c r="AB76" s="185" t="b">
        <f t="shared" si="11"/>
        <v>1</v>
      </c>
    </row>
    <row r="77" spans="1:28" s="179" customFormat="1" ht="60">
      <c r="A77" s="490">
        <v>75</v>
      </c>
      <c r="B77" s="327" t="s">
        <v>425</v>
      </c>
      <c r="C77" s="492" t="s">
        <v>314</v>
      </c>
      <c r="D77" s="327" t="s">
        <v>290</v>
      </c>
      <c r="E77" s="322">
        <v>1210062</v>
      </c>
      <c r="F77" s="328" t="s">
        <v>162</v>
      </c>
      <c r="G77" s="329" t="s">
        <v>507</v>
      </c>
      <c r="H77" s="330" t="s">
        <v>74</v>
      </c>
      <c r="I77" s="331">
        <v>0.59</v>
      </c>
      <c r="J77" s="508" t="s">
        <v>944</v>
      </c>
      <c r="K77" s="497">
        <v>2259822.44</v>
      </c>
      <c r="L77" s="557">
        <v>1468884</v>
      </c>
      <c r="M77" s="558">
        <v>790938.44</v>
      </c>
      <c r="N77" s="559">
        <v>0.65</v>
      </c>
      <c r="O77" s="560"/>
      <c r="P77" s="560"/>
      <c r="Q77" s="560"/>
      <c r="R77" s="481">
        <v>1468884</v>
      </c>
      <c r="S77" s="481"/>
      <c r="T77" s="561"/>
      <c r="U77" s="553"/>
      <c r="V77" s="553"/>
      <c r="W77" s="553"/>
      <c r="X77" s="553"/>
      <c r="Y77" s="156" t="b">
        <f t="shared" si="8"/>
        <v>1</v>
      </c>
      <c r="Z77" s="353">
        <f t="shared" si="12"/>
        <v>0.65</v>
      </c>
      <c r="AA77" s="156" t="b">
        <f t="shared" si="10"/>
        <v>1</v>
      </c>
      <c r="AB77" s="185" t="b">
        <f t="shared" si="11"/>
        <v>1</v>
      </c>
    </row>
    <row r="78" spans="1:28" s="157" customFormat="1" ht="60">
      <c r="A78" s="453">
        <v>76</v>
      </c>
      <c r="B78" s="477" t="s">
        <v>427</v>
      </c>
      <c r="C78" s="455" t="s">
        <v>313</v>
      </c>
      <c r="D78" s="477" t="s">
        <v>461</v>
      </c>
      <c r="E78" s="486">
        <v>1208053</v>
      </c>
      <c r="F78" s="554" t="s">
        <v>200</v>
      </c>
      <c r="G78" s="487" t="s">
        <v>509</v>
      </c>
      <c r="H78" s="501" t="s">
        <v>77</v>
      </c>
      <c r="I78" s="502">
        <v>0.342</v>
      </c>
      <c r="J78" s="369" t="s">
        <v>355</v>
      </c>
      <c r="K78" s="460">
        <v>1396672.42</v>
      </c>
      <c r="L78" s="546">
        <v>907837</v>
      </c>
      <c r="M78" s="548">
        <v>488835.4199999999</v>
      </c>
      <c r="N78" s="555">
        <v>0.65</v>
      </c>
      <c r="O78" s="469"/>
      <c r="P78" s="469"/>
      <c r="Q78" s="469"/>
      <c r="R78" s="470">
        <v>418931</v>
      </c>
      <c r="S78" s="470">
        <v>488906</v>
      </c>
      <c r="T78" s="556"/>
      <c r="U78" s="530"/>
      <c r="V78" s="530"/>
      <c r="W78" s="530"/>
      <c r="X78" s="530"/>
      <c r="Y78" s="156" t="b">
        <f t="shared" si="8"/>
        <v>1</v>
      </c>
      <c r="Z78" s="353">
        <f t="shared" si="12"/>
        <v>0.65</v>
      </c>
      <c r="AA78" s="156" t="b">
        <f t="shared" si="10"/>
        <v>1</v>
      </c>
      <c r="AB78" s="185" t="b">
        <f t="shared" si="11"/>
        <v>1</v>
      </c>
    </row>
    <row r="79" spans="1:28" s="179" customFormat="1" ht="60">
      <c r="A79" s="490">
        <v>77</v>
      </c>
      <c r="B79" s="327" t="s">
        <v>608</v>
      </c>
      <c r="C79" s="323" t="s">
        <v>314</v>
      </c>
      <c r="D79" s="327" t="s">
        <v>291</v>
      </c>
      <c r="E79" s="322">
        <v>1207042</v>
      </c>
      <c r="F79" s="328" t="s">
        <v>298</v>
      </c>
      <c r="G79" s="329" t="s">
        <v>709</v>
      </c>
      <c r="H79" s="330" t="s">
        <v>72</v>
      </c>
      <c r="I79" s="331">
        <v>0.9707</v>
      </c>
      <c r="J79" s="508" t="s">
        <v>309</v>
      </c>
      <c r="K79" s="499">
        <v>3611758.07</v>
      </c>
      <c r="L79" s="499">
        <v>2347642</v>
      </c>
      <c r="M79" s="562">
        <v>1264116.0699999998</v>
      </c>
      <c r="N79" s="563">
        <v>0.65</v>
      </c>
      <c r="O79" s="320"/>
      <c r="P79" s="320"/>
      <c r="Q79" s="320"/>
      <c r="R79" s="321">
        <v>2347642</v>
      </c>
      <c r="S79" s="321"/>
      <c r="T79" s="321"/>
      <c r="U79" s="321"/>
      <c r="V79" s="320"/>
      <c r="W79" s="320"/>
      <c r="X79" s="320"/>
      <c r="Y79" s="156" t="b">
        <f t="shared" si="8"/>
        <v>1</v>
      </c>
      <c r="Z79" s="353">
        <f t="shared" si="12"/>
        <v>0.65</v>
      </c>
      <c r="AA79" s="156" t="b">
        <f t="shared" si="10"/>
        <v>1</v>
      </c>
      <c r="AB79" s="185" t="b">
        <f t="shared" si="11"/>
        <v>1</v>
      </c>
    </row>
    <row r="80" spans="1:28" s="179" customFormat="1" ht="75">
      <c r="A80" s="490">
        <v>78</v>
      </c>
      <c r="B80" s="327" t="s">
        <v>430</v>
      </c>
      <c r="C80" s="492" t="s">
        <v>314</v>
      </c>
      <c r="D80" s="327" t="s">
        <v>459</v>
      </c>
      <c r="E80" s="322">
        <v>1211142</v>
      </c>
      <c r="F80" s="328" t="s">
        <v>128</v>
      </c>
      <c r="G80" s="329" t="s">
        <v>512</v>
      </c>
      <c r="H80" s="330" t="s">
        <v>72</v>
      </c>
      <c r="I80" s="331">
        <v>0.9342</v>
      </c>
      <c r="J80" s="327" t="s">
        <v>308</v>
      </c>
      <c r="K80" s="497">
        <v>2759665.2</v>
      </c>
      <c r="L80" s="557">
        <v>1655799</v>
      </c>
      <c r="M80" s="558">
        <v>1103866.2000000002</v>
      </c>
      <c r="N80" s="559">
        <v>0.6</v>
      </c>
      <c r="O80" s="560"/>
      <c r="P80" s="560"/>
      <c r="Q80" s="560"/>
      <c r="R80" s="481">
        <v>1655799</v>
      </c>
      <c r="S80" s="481"/>
      <c r="T80" s="561"/>
      <c r="U80" s="553"/>
      <c r="V80" s="553"/>
      <c r="W80" s="553"/>
      <c r="X80" s="553"/>
      <c r="Y80" s="156" t="b">
        <f t="shared" si="8"/>
        <v>1</v>
      </c>
      <c r="Z80" s="353">
        <f t="shared" si="12"/>
        <v>0.6</v>
      </c>
      <c r="AA80" s="156" t="b">
        <f t="shared" si="10"/>
        <v>1</v>
      </c>
      <c r="AB80" s="185" t="b">
        <f t="shared" si="11"/>
        <v>1</v>
      </c>
    </row>
    <row r="81" spans="1:28" s="157" customFormat="1" ht="45">
      <c r="A81" s="453">
        <v>79</v>
      </c>
      <c r="B81" s="477" t="s">
        <v>432</v>
      </c>
      <c r="C81" s="455" t="s">
        <v>313</v>
      </c>
      <c r="D81" s="477" t="s">
        <v>132</v>
      </c>
      <c r="E81" s="564">
        <v>1206113</v>
      </c>
      <c r="F81" s="554" t="s">
        <v>130</v>
      </c>
      <c r="G81" s="487" t="s">
        <v>514</v>
      </c>
      <c r="H81" s="501" t="s">
        <v>72</v>
      </c>
      <c r="I81" s="502">
        <v>0.27722</v>
      </c>
      <c r="J81" s="369" t="s">
        <v>471</v>
      </c>
      <c r="K81" s="460">
        <v>2102166.38</v>
      </c>
      <c r="L81" s="546">
        <v>1051083</v>
      </c>
      <c r="M81" s="548">
        <v>1051083.38</v>
      </c>
      <c r="N81" s="555">
        <v>0.5</v>
      </c>
      <c r="O81" s="469"/>
      <c r="P81" s="469"/>
      <c r="Q81" s="469"/>
      <c r="R81" s="470">
        <v>437302</v>
      </c>
      <c r="S81" s="470">
        <v>613781</v>
      </c>
      <c r="T81" s="556"/>
      <c r="U81" s="530"/>
      <c r="V81" s="530"/>
      <c r="W81" s="530"/>
      <c r="X81" s="530"/>
      <c r="Y81" s="156" t="b">
        <f>S81=L81-R81</f>
        <v>1</v>
      </c>
      <c r="Z81" s="353">
        <f t="shared" si="12"/>
        <v>0.5</v>
      </c>
      <c r="AA81" s="156" t="b">
        <f t="shared" si="10"/>
        <v>1</v>
      </c>
      <c r="AB81" s="185" t="b">
        <f t="shared" si="11"/>
        <v>1</v>
      </c>
    </row>
    <row r="82" spans="1:28" s="179" customFormat="1" ht="60">
      <c r="A82" s="490">
        <v>80</v>
      </c>
      <c r="B82" s="327" t="s">
        <v>433</v>
      </c>
      <c r="C82" s="492" t="s">
        <v>314</v>
      </c>
      <c r="D82" s="327" t="s">
        <v>460</v>
      </c>
      <c r="E82" s="322">
        <v>1211042</v>
      </c>
      <c r="F82" s="328" t="s">
        <v>128</v>
      </c>
      <c r="G82" s="329" t="s">
        <v>515</v>
      </c>
      <c r="H82" s="330" t="s">
        <v>74</v>
      </c>
      <c r="I82" s="331">
        <v>0.5885</v>
      </c>
      <c r="J82" s="508" t="s">
        <v>307</v>
      </c>
      <c r="K82" s="497">
        <v>1588839.65</v>
      </c>
      <c r="L82" s="557">
        <v>1112187</v>
      </c>
      <c r="M82" s="558">
        <v>476652.6499999999</v>
      </c>
      <c r="N82" s="559">
        <v>0.7</v>
      </c>
      <c r="O82" s="560"/>
      <c r="P82" s="560"/>
      <c r="Q82" s="560"/>
      <c r="R82" s="481">
        <v>1112187</v>
      </c>
      <c r="S82" s="481"/>
      <c r="T82" s="561"/>
      <c r="U82" s="553"/>
      <c r="V82" s="553"/>
      <c r="W82" s="553"/>
      <c r="X82" s="553"/>
      <c r="Y82" s="156" t="b">
        <f aca="true" t="shared" si="13" ref="Y82:Y137">L82=SUM(O82:X82)</f>
        <v>1</v>
      </c>
      <c r="Z82" s="353">
        <f t="shared" si="12"/>
        <v>0.7</v>
      </c>
      <c r="AA82" s="156" t="b">
        <f t="shared" si="10"/>
        <v>1</v>
      </c>
      <c r="AB82" s="185" t="b">
        <f t="shared" si="11"/>
        <v>1</v>
      </c>
    </row>
    <row r="83" spans="1:28" s="179" customFormat="1" ht="45">
      <c r="A83" s="490">
        <v>81</v>
      </c>
      <c r="B83" s="327" t="s">
        <v>434</v>
      </c>
      <c r="C83" s="492" t="s">
        <v>314</v>
      </c>
      <c r="D83" s="327" t="s">
        <v>462</v>
      </c>
      <c r="E83" s="322">
        <v>1208042</v>
      </c>
      <c r="F83" s="328" t="s">
        <v>200</v>
      </c>
      <c r="G83" s="329" t="s">
        <v>516</v>
      </c>
      <c r="H83" s="330" t="s">
        <v>74</v>
      </c>
      <c r="I83" s="331">
        <v>0.231</v>
      </c>
      <c r="J83" s="508" t="s">
        <v>517</v>
      </c>
      <c r="K83" s="497">
        <v>517628.71</v>
      </c>
      <c r="L83" s="557">
        <v>284695</v>
      </c>
      <c r="M83" s="558">
        <v>232933.71000000002</v>
      </c>
      <c r="N83" s="559">
        <v>0.55</v>
      </c>
      <c r="O83" s="560"/>
      <c r="P83" s="560"/>
      <c r="Q83" s="560"/>
      <c r="R83" s="481">
        <v>284695</v>
      </c>
      <c r="S83" s="481"/>
      <c r="T83" s="561"/>
      <c r="U83" s="553"/>
      <c r="V83" s="553"/>
      <c r="W83" s="553"/>
      <c r="X83" s="553"/>
      <c r="Y83" s="156" t="b">
        <f t="shared" si="13"/>
        <v>1</v>
      </c>
      <c r="Z83" s="353">
        <f t="shared" si="12"/>
        <v>0.55</v>
      </c>
      <c r="AA83" s="156" t="b">
        <f t="shared" si="10"/>
        <v>1</v>
      </c>
      <c r="AB83" s="185" t="b">
        <f t="shared" si="11"/>
        <v>1</v>
      </c>
    </row>
    <row r="84" spans="1:28" s="179" customFormat="1" ht="75">
      <c r="A84" s="490">
        <v>82</v>
      </c>
      <c r="B84" s="327" t="s">
        <v>436</v>
      </c>
      <c r="C84" s="492" t="s">
        <v>314</v>
      </c>
      <c r="D84" s="327" t="s">
        <v>295</v>
      </c>
      <c r="E84" s="322">
        <v>1218062</v>
      </c>
      <c r="F84" s="328" t="s">
        <v>147</v>
      </c>
      <c r="G84" s="329" t="s">
        <v>519</v>
      </c>
      <c r="H84" s="330" t="s">
        <v>72</v>
      </c>
      <c r="I84" s="331">
        <v>0.062</v>
      </c>
      <c r="J84" s="508" t="s">
        <v>304</v>
      </c>
      <c r="K84" s="497">
        <v>1778027.77</v>
      </c>
      <c r="L84" s="557">
        <v>1155718</v>
      </c>
      <c r="M84" s="558">
        <v>622309.77</v>
      </c>
      <c r="N84" s="559">
        <v>0.65</v>
      </c>
      <c r="O84" s="560"/>
      <c r="P84" s="560"/>
      <c r="Q84" s="560"/>
      <c r="R84" s="481">
        <v>1155718</v>
      </c>
      <c r="S84" s="481"/>
      <c r="T84" s="561"/>
      <c r="U84" s="553"/>
      <c r="V84" s="553"/>
      <c r="W84" s="553"/>
      <c r="X84" s="553"/>
      <c r="Y84" s="156" t="b">
        <f t="shared" si="13"/>
        <v>1</v>
      </c>
      <c r="Z84" s="353">
        <f t="shared" si="12"/>
        <v>0.65</v>
      </c>
      <c r="AA84" s="156" t="b">
        <f t="shared" si="10"/>
        <v>1</v>
      </c>
      <c r="AB84" s="185" t="b">
        <f t="shared" si="11"/>
        <v>1</v>
      </c>
    </row>
    <row r="85" spans="1:28" s="179" customFormat="1" ht="60">
      <c r="A85" s="490">
        <v>83</v>
      </c>
      <c r="B85" s="327" t="s">
        <v>437</v>
      </c>
      <c r="C85" s="492" t="s">
        <v>314</v>
      </c>
      <c r="D85" s="327" t="s">
        <v>296</v>
      </c>
      <c r="E85" s="322">
        <v>1202042</v>
      </c>
      <c r="F85" s="328" t="s">
        <v>152</v>
      </c>
      <c r="G85" s="329" t="s">
        <v>520</v>
      </c>
      <c r="H85" s="330" t="s">
        <v>74</v>
      </c>
      <c r="I85" s="331">
        <v>0.99</v>
      </c>
      <c r="J85" s="508" t="s">
        <v>521</v>
      </c>
      <c r="K85" s="497">
        <v>3853984.58</v>
      </c>
      <c r="L85" s="557">
        <f>INT(K85*N85)</f>
        <v>2697789</v>
      </c>
      <c r="M85" s="558">
        <f>K85-L85</f>
        <v>1156195.58</v>
      </c>
      <c r="N85" s="559">
        <v>0.7</v>
      </c>
      <c r="O85" s="560"/>
      <c r="P85" s="560"/>
      <c r="Q85" s="560"/>
      <c r="R85" s="481">
        <f>L85</f>
        <v>2697789</v>
      </c>
      <c r="S85" s="481"/>
      <c r="T85" s="561"/>
      <c r="U85" s="553"/>
      <c r="V85" s="553"/>
      <c r="W85" s="553"/>
      <c r="X85" s="553"/>
      <c r="Y85" s="156" t="b">
        <f t="shared" si="13"/>
        <v>1</v>
      </c>
      <c r="Z85" s="353">
        <f t="shared" si="12"/>
        <v>0.7</v>
      </c>
      <c r="AA85" s="156" t="b">
        <f t="shared" si="10"/>
        <v>1</v>
      </c>
      <c r="AB85" s="185" t="b">
        <f t="shared" si="11"/>
        <v>1</v>
      </c>
    </row>
    <row r="86" spans="1:28" s="179" customFormat="1" ht="45">
      <c r="A86" s="490">
        <v>84</v>
      </c>
      <c r="B86" s="327" t="s">
        <v>438</v>
      </c>
      <c r="C86" s="492" t="s">
        <v>314</v>
      </c>
      <c r="D86" s="327" t="s">
        <v>294</v>
      </c>
      <c r="E86" s="322">
        <v>1216063</v>
      </c>
      <c r="F86" s="328" t="s">
        <v>161</v>
      </c>
      <c r="G86" s="329" t="s">
        <v>522</v>
      </c>
      <c r="H86" s="330" t="s">
        <v>74</v>
      </c>
      <c r="I86" s="331">
        <v>0.635</v>
      </c>
      <c r="J86" s="508" t="s">
        <v>307</v>
      </c>
      <c r="K86" s="497">
        <v>462641.83</v>
      </c>
      <c r="L86" s="557">
        <v>277585</v>
      </c>
      <c r="M86" s="558">
        <v>185056.83000000002</v>
      </c>
      <c r="N86" s="559">
        <v>0.6</v>
      </c>
      <c r="O86" s="560"/>
      <c r="P86" s="560"/>
      <c r="Q86" s="560"/>
      <c r="R86" s="481">
        <v>277585</v>
      </c>
      <c r="S86" s="481"/>
      <c r="T86" s="561"/>
      <c r="U86" s="553"/>
      <c r="V86" s="553"/>
      <c r="W86" s="553"/>
      <c r="X86" s="553"/>
      <c r="Y86" s="156" t="b">
        <f t="shared" si="13"/>
        <v>1</v>
      </c>
      <c r="Z86" s="353">
        <f t="shared" si="12"/>
        <v>0.6</v>
      </c>
      <c r="AA86" s="156" t="b">
        <f t="shared" si="10"/>
        <v>1</v>
      </c>
      <c r="AB86" s="185" t="b">
        <f t="shared" si="11"/>
        <v>1</v>
      </c>
    </row>
    <row r="87" spans="1:28" s="179" customFormat="1" ht="60">
      <c r="A87" s="490">
        <v>85</v>
      </c>
      <c r="B87" s="327" t="s">
        <v>439</v>
      </c>
      <c r="C87" s="492" t="s">
        <v>314</v>
      </c>
      <c r="D87" s="327" t="s">
        <v>293</v>
      </c>
      <c r="E87" s="322">
        <v>1211123</v>
      </c>
      <c r="F87" s="328" t="s">
        <v>128</v>
      </c>
      <c r="G87" s="329" t="s">
        <v>523</v>
      </c>
      <c r="H87" s="330" t="s">
        <v>74</v>
      </c>
      <c r="I87" s="331">
        <v>0.138</v>
      </c>
      <c r="J87" s="508" t="s">
        <v>311</v>
      </c>
      <c r="K87" s="497">
        <v>599285.53</v>
      </c>
      <c r="L87" s="557">
        <v>359571</v>
      </c>
      <c r="M87" s="558">
        <v>239714.53000000003</v>
      </c>
      <c r="N87" s="559">
        <v>0.6</v>
      </c>
      <c r="O87" s="560"/>
      <c r="P87" s="560"/>
      <c r="Q87" s="560"/>
      <c r="R87" s="481">
        <v>359571</v>
      </c>
      <c r="S87" s="481"/>
      <c r="T87" s="561"/>
      <c r="U87" s="553"/>
      <c r="V87" s="553"/>
      <c r="W87" s="553"/>
      <c r="X87" s="553"/>
      <c r="Y87" s="156" t="b">
        <f t="shared" si="13"/>
        <v>1</v>
      </c>
      <c r="Z87" s="353">
        <f t="shared" si="12"/>
        <v>0.6</v>
      </c>
      <c r="AA87" s="156" t="b">
        <f t="shared" si="10"/>
        <v>1</v>
      </c>
      <c r="AB87" s="185" t="b">
        <f t="shared" si="11"/>
        <v>1</v>
      </c>
    </row>
    <row r="88" spans="1:28" s="157" customFormat="1" ht="45">
      <c r="A88" s="453">
        <v>86</v>
      </c>
      <c r="B88" s="477" t="s">
        <v>440</v>
      </c>
      <c r="C88" s="455" t="s">
        <v>313</v>
      </c>
      <c r="D88" s="477" t="s">
        <v>165</v>
      </c>
      <c r="E88" s="486">
        <v>1202023</v>
      </c>
      <c r="F88" s="554" t="s">
        <v>152</v>
      </c>
      <c r="G88" s="487" t="s">
        <v>524</v>
      </c>
      <c r="H88" s="501" t="s">
        <v>77</v>
      </c>
      <c r="I88" s="502">
        <v>0.95248</v>
      </c>
      <c r="J88" s="369" t="s">
        <v>525</v>
      </c>
      <c r="K88" s="460">
        <v>1047512.41</v>
      </c>
      <c r="L88" s="546">
        <v>680883</v>
      </c>
      <c r="M88" s="548">
        <v>366629.41000000003</v>
      </c>
      <c r="N88" s="555">
        <v>0.65</v>
      </c>
      <c r="O88" s="469"/>
      <c r="P88" s="469"/>
      <c r="Q88" s="469"/>
      <c r="R88" s="470">
        <v>488422</v>
      </c>
      <c r="S88" s="470">
        <v>192461</v>
      </c>
      <c r="T88" s="556"/>
      <c r="U88" s="530"/>
      <c r="V88" s="530"/>
      <c r="W88" s="530"/>
      <c r="X88" s="530"/>
      <c r="Y88" s="156" t="b">
        <f t="shared" si="13"/>
        <v>1</v>
      </c>
      <c r="Z88" s="353">
        <f t="shared" si="12"/>
        <v>0.65</v>
      </c>
      <c r="AA88" s="156" t="b">
        <f t="shared" si="10"/>
        <v>1</v>
      </c>
      <c r="AB88" s="185" t="b">
        <f t="shared" si="11"/>
        <v>1</v>
      </c>
    </row>
    <row r="89" spans="1:28" s="179" customFormat="1" ht="51.75" customHeight="1">
      <c r="A89" s="490">
        <v>87</v>
      </c>
      <c r="B89" s="327" t="s">
        <v>320</v>
      </c>
      <c r="C89" s="492" t="s">
        <v>314</v>
      </c>
      <c r="D89" s="327" t="s">
        <v>175</v>
      </c>
      <c r="E89" s="322">
        <v>1201082</v>
      </c>
      <c r="F89" s="328" t="s">
        <v>176</v>
      </c>
      <c r="G89" s="329" t="s">
        <v>332</v>
      </c>
      <c r="H89" s="330" t="s">
        <v>77</v>
      </c>
      <c r="I89" s="331">
        <v>0.818</v>
      </c>
      <c r="J89" s="508" t="s">
        <v>312</v>
      </c>
      <c r="K89" s="497">
        <v>1645186.51</v>
      </c>
      <c r="L89" s="557">
        <f>INT(K89*N89)</f>
        <v>1316149</v>
      </c>
      <c r="M89" s="558">
        <f>K89-L89</f>
        <v>329037.51</v>
      </c>
      <c r="N89" s="559">
        <v>0.8</v>
      </c>
      <c r="O89" s="560"/>
      <c r="P89" s="560"/>
      <c r="Q89" s="560"/>
      <c r="R89" s="481">
        <f>L89</f>
        <v>1316149</v>
      </c>
      <c r="S89" s="481"/>
      <c r="T89" s="561"/>
      <c r="U89" s="553"/>
      <c r="V89" s="553"/>
      <c r="W89" s="553"/>
      <c r="X89" s="553"/>
      <c r="Y89" s="156" t="b">
        <f t="shared" si="13"/>
        <v>1</v>
      </c>
      <c r="Z89" s="353">
        <f t="shared" si="12"/>
        <v>0.8</v>
      </c>
      <c r="AA89" s="156" t="b">
        <f t="shared" si="10"/>
        <v>1</v>
      </c>
      <c r="AB89" s="185" t="b">
        <f t="shared" si="11"/>
        <v>1</v>
      </c>
    </row>
    <row r="90" spans="1:28" s="157" customFormat="1" ht="45">
      <c r="A90" s="453">
        <v>88</v>
      </c>
      <c r="B90" s="477" t="s">
        <v>441</v>
      </c>
      <c r="C90" s="455" t="s">
        <v>313</v>
      </c>
      <c r="D90" s="477" t="s">
        <v>224</v>
      </c>
      <c r="E90" s="486">
        <v>1205023</v>
      </c>
      <c r="F90" s="554" t="s">
        <v>154</v>
      </c>
      <c r="G90" s="487" t="s">
        <v>526</v>
      </c>
      <c r="H90" s="501" t="s">
        <v>77</v>
      </c>
      <c r="I90" s="502">
        <v>0.5</v>
      </c>
      <c r="J90" s="369" t="s">
        <v>910</v>
      </c>
      <c r="K90" s="460">
        <v>868642.3</v>
      </c>
      <c r="L90" s="546">
        <v>564617</v>
      </c>
      <c r="M90" s="548">
        <v>304025.30000000005</v>
      </c>
      <c r="N90" s="555">
        <v>0.65</v>
      </c>
      <c r="O90" s="469"/>
      <c r="P90" s="469"/>
      <c r="Q90" s="469"/>
      <c r="R90" s="470">
        <v>144597</v>
      </c>
      <c r="S90" s="470">
        <v>420020</v>
      </c>
      <c r="T90" s="556"/>
      <c r="U90" s="530"/>
      <c r="V90" s="530"/>
      <c r="W90" s="530"/>
      <c r="X90" s="530"/>
      <c r="Y90" s="156" t="b">
        <f t="shared" si="13"/>
        <v>1</v>
      </c>
      <c r="Z90" s="353">
        <f t="shared" si="12"/>
        <v>0.65</v>
      </c>
      <c r="AA90" s="156" t="b">
        <f t="shared" si="10"/>
        <v>1</v>
      </c>
      <c r="AB90" s="185" t="b">
        <f t="shared" si="11"/>
        <v>1</v>
      </c>
    </row>
    <row r="91" spans="1:28" s="179" customFormat="1" ht="75">
      <c r="A91" s="490">
        <v>89</v>
      </c>
      <c r="B91" s="327" t="s">
        <v>442</v>
      </c>
      <c r="C91" s="492" t="s">
        <v>314</v>
      </c>
      <c r="D91" s="327" t="s">
        <v>292</v>
      </c>
      <c r="E91" s="322">
        <v>1210113</v>
      </c>
      <c r="F91" s="328" t="s">
        <v>162</v>
      </c>
      <c r="G91" s="329" t="s">
        <v>527</v>
      </c>
      <c r="H91" s="330" t="s">
        <v>77</v>
      </c>
      <c r="I91" s="331">
        <v>0.442</v>
      </c>
      <c r="J91" s="508" t="s">
        <v>310</v>
      </c>
      <c r="K91" s="497">
        <v>325191.92</v>
      </c>
      <c r="L91" s="557">
        <v>195115</v>
      </c>
      <c r="M91" s="558">
        <v>130076.91999999998</v>
      </c>
      <c r="N91" s="559">
        <v>0.6</v>
      </c>
      <c r="O91" s="560"/>
      <c r="P91" s="560"/>
      <c r="Q91" s="560"/>
      <c r="R91" s="481">
        <v>195115</v>
      </c>
      <c r="S91" s="481"/>
      <c r="T91" s="561"/>
      <c r="U91" s="553"/>
      <c r="V91" s="553"/>
      <c r="W91" s="553"/>
      <c r="X91" s="553"/>
      <c r="Y91" s="156" t="b">
        <f t="shared" si="13"/>
        <v>1</v>
      </c>
      <c r="Z91" s="353">
        <f t="shared" si="12"/>
        <v>0.6</v>
      </c>
      <c r="AA91" s="156" t="b">
        <f t="shared" si="10"/>
        <v>1</v>
      </c>
      <c r="AB91" s="185" t="b">
        <f t="shared" si="11"/>
        <v>1</v>
      </c>
    </row>
    <row r="92" spans="1:28" s="179" customFormat="1" ht="60">
      <c r="A92" s="490">
        <v>90</v>
      </c>
      <c r="B92" s="327" t="s">
        <v>318</v>
      </c>
      <c r="C92" s="492" t="s">
        <v>314</v>
      </c>
      <c r="D92" s="327" t="s">
        <v>327</v>
      </c>
      <c r="E92" s="322">
        <v>1216072</v>
      </c>
      <c r="F92" s="328" t="s">
        <v>161</v>
      </c>
      <c r="G92" s="329" t="s">
        <v>328</v>
      </c>
      <c r="H92" s="330" t="s">
        <v>72</v>
      </c>
      <c r="I92" s="331">
        <v>1.99</v>
      </c>
      <c r="J92" s="508" t="s">
        <v>329</v>
      </c>
      <c r="K92" s="497">
        <v>1808698.75</v>
      </c>
      <c r="L92" s="557">
        <f>INT(K92*N92)</f>
        <v>1266089</v>
      </c>
      <c r="M92" s="558">
        <f>K92-L92</f>
        <v>542609.75</v>
      </c>
      <c r="N92" s="559">
        <v>0.7</v>
      </c>
      <c r="O92" s="560"/>
      <c r="P92" s="560"/>
      <c r="Q92" s="560"/>
      <c r="R92" s="481">
        <f>L92</f>
        <v>1266089</v>
      </c>
      <c r="S92" s="481"/>
      <c r="T92" s="561"/>
      <c r="U92" s="553"/>
      <c r="V92" s="553"/>
      <c r="W92" s="553"/>
      <c r="X92" s="553"/>
      <c r="Y92" s="156" t="b">
        <f t="shared" si="13"/>
        <v>1</v>
      </c>
      <c r="Z92" s="353">
        <f t="shared" si="12"/>
        <v>0.7</v>
      </c>
      <c r="AA92" s="156" t="b">
        <f t="shared" si="10"/>
        <v>1</v>
      </c>
      <c r="AB92" s="185" t="b">
        <f t="shared" si="11"/>
        <v>1</v>
      </c>
    </row>
    <row r="93" spans="1:28" s="179" customFormat="1" ht="90">
      <c r="A93" s="490">
        <v>91</v>
      </c>
      <c r="B93" s="327" t="s">
        <v>319</v>
      </c>
      <c r="C93" s="492" t="s">
        <v>314</v>
      </c>
      <c r="D93" s="327" t="s">
        <v>330</v>
      </c>
      <c r="E93" s="322">
        <v>1216092</v>
      </c>
      <c r="F93" s="328" t="s">
        <v>161</v>
      </c>
      <c r="G93" s="329" t="s">
        <v>331</v>
      </c>
      <c r="H93" s="330" t="s">
        <v>72</v>
      </c>
      <c r="I93" s="331">
        <v>0.517</v>
      </c>
      <c r="J93" s="508" t="s">
        <v>304</v>
      </c>
      <c r="K93" s="497">
        <v>1209613.95</v>
      </c>
      <c r="L93" s="557">
        <v>725768</v>
      </c>
      <c r="M93" s="558">
        <v>483845.94999999995</v>
      </c>
      <c r="N93" s="559">
        <v>0.6</v>
      </c>
      <c r="O93" s="560"/>
      <c r="P93" s="560"/>
      <c r="Q93" s="560"/>
      <c r="R93" s="481">
        <v>725768</v>
      </c>
      <c r="S93" s="481"/>
      <c r="T93" s="561"/>
      <c r="U93" s="553"/>
      <c r="V93" s="553"/>
      <c r="W93" s="553"/>
      <c r="X93" s="553"/>
      <c r="Y93" s="156" t="b">
        <f t="shared" si="13"/>
        <v>1</v>
      </c>
      <c r="Z93" s="353">
        <f t="shared" si="12"/>
        <v>0.6</v>
      </c>
      <c r="AA93" s="156" t="b">
        <f t="shared" si="10"/>
        <v>1</v>
      </c>
      <c r="AB93" s="185" t="b">
        <f t="shared" si="11"/>
        <v>1</v>
      </c>
    </row>
    <row r="94" spans="1:28" s="179" customFormat="1" ht="90">
      <c r="A94" s="490">
        <v>92</v>
      </c>
      <c r="B94" s="327" t="s">
        <v>444</v>
      </c>
      <c r="C94" s="492" t="s">
        <v>314</v>
      </c>
      <c r="D94" s="327" t="s">
        <v>153</v>
      </c>
      <c r="E94" s="322">
        <v>1205011</v>
      </c>
      <c r="F94" s="328" t="s">
        <v>154</v>
      </c>
      <c r="G94" s="329" t="s">
        <v>529</v>
      </c>
      <c r="H94" s="330" t="s">
        <v>72</v>
      </c>
      <c r="I94" s="331">
        <v>0.21927</v>
      </c>
      <c r="J94" s="327" t="s">
        <v>312</v>
      </c>
      <c r="K94" s="497">
        <v>3022436.13</v>
      </c>
      <c r="L94" s="557">
        <v>1813461</v>
      </c>
      <c r="M94" s="558">
        <v>1208975.13</v>
      </c>
      <c r="N94" s="559">
        <v>0.6</v>
      </c>
      <c r="O94" s="560"/>
      <c r="P94" s="560"/>
      <c r="Q94" s="560"/>
      <c r="R94" s="481">
        <v>1813461</v>
      </c>
      <c r="S94" s="481"/>
      <c r="T94" s="561"/>
      <c r="U94" s="553"/>
      <c r="V94" s="553"/>
      <c r="W94" s="553"/>
      <c r="X94" s="553"/>
      <c r="Y94" s="156" t="b">
        <f t="shared" si="13"/>
        <v>1</v>
      </c>
      <c r="Z94" s="353">
        <f t="shared" si="12"/>
        <v>0.6</v>
      </c>
      <c r="AA94" s="156" t="b">
        <f t="shared" si="10"/>
        <v>1</v>
      </c>
      <c r="AB94" s="185" t="b">
        <f t="shared" si="11"/>
        <v>1</v>
      </c>
    </row>
    <row r="95" spans="1:28" s="179" customFormat="1" ht="90">
      <c r="A95" s="490">
        <v>93</v>
      </c>
      <c r="B95" s="327" t="s">
        <v>315</v>
      </c>
      <c r="C95" s="492" t="s">
        <v>314</v>
      </c>
      <c r="D95" s="327" t="s">
        <v>321</v>
      </c>
      <c r="E95" s="322">
        <v>1206172</v>
      </c>
      <c r="F95" s="328" t="s">
        <v>130</v>
      </c>
      <c r="G95" s="329" t="s">
        <v>322</v>
      </c>
      <c r="H95" s="330" t="s">
        <v>74</v>
      </c>
      <c r="I95" s="331">
        <v>0.48985</v>
      </c>
      <c r="J95" s="508" t="s">
        <v>323</v>
      </c>
      <c r="K95" s="497">
        <v>1952623.89</v>
      </c>
      <c r="L95" s="557">
        <v>976311</v>
      </c>
      <c r="M95" s="558">
        <v>976312.8899999999</v>
      </c>
      <c r="N95" s="559">
        <v>0.5</v>
      </c>
      <c r="O95" s="560"/>
      <c r="P95" s="560"/>
      <c r="Q95" s="560"/>
      <c r="R95" s="481">
        <v>976311</v>
      </c>
      <c r="S95" s="481"/>
      <c r="T95" s="561"/>
      <c r="U95" s="553"/>
      <c r="V95" s="553"/>
      <c r="W95" s="553"/>
      <c r="X95" s="553"/>
      <c r="Y95" s="156" t="b">
        <f t="shared" si="13"/>
        <v>1</v>
      </c>
      <c r="Z95" s="353">
        <f t="shared" si="12"/>
        <v>0.5</v>
      </c>
      <c r="AA95" s="156" t="b">
        <f t="shared" si="10"/>
        <v>1</v>
      </c>
      <c r="AB95" s="185" t="b">
        <f t="shared" si="11"/>
        <v>1</v>
      </c>
    </row>
    <row r="96" spans="1:28" s="179" customFormat="1" ht="75">
      <c r="A96" s="490">
        <v>94</v>
      </c>
      <c r="B96" s="327" t="s">
        <v>445</v>
      </c>
      <c r="C96" s="492" t="s">
        <v>314</v>
      </c>
      <c r="D96" s="327" t="s">
        <v>463</v>
      </c>
      <c r="E96" s="322">
        <v>1201092</v>
      </c>
      <c r="F96" s="328" t="s">
        <v>176</v>
      </c>
      <c r="G96" s="329" t="s">
        <v>530</v>
      </c>
      <c r="H96" s="330" t="s">
        <v>77</v>
      </c>
      <c r="I96" s="331">
        <v>1.099</v>
      </c>
      <c r="J96" s="565" t="s">
        <v>531</v>
      </c>
      <c r="K96" s="497">
        <v>877347.67</v>
      </c>
      <c r="L96" s="557">
        <v>570275</v>
      </c>
      <c r="M96" s="558">
        <v>307072.67000000004</v>
      </c>
      <c r="N96" s="559">
        <v>0.65</v>
      </c>
      <c r="O96" s="560"/>
      <c r="P96" s="560"/>
      <c r="Q96" s="560"/>
      <c r="R96" s="481">
        <v>570275</v>
      </c>
      <c r="S96" s="481"/>
      <c r="T96" s="561"/>
      <c r="U96" s="553"/>
      <c r="V96" s="553"/>
      <c r="W96" s="553"/>
      <c r="X96" s="553"/>
      <c r="Y96" s="156" t="b">
        <f t="shared" si="13"/>
        <v>1</v>
      </c>
      <c r="Z96" s="353">
        <f t="shared" si="12"/>
        <v>0.65</v>
      </c>
      <c r="AA96" s="156" t="b">
        <f t="shared" si="10"/>
        <v>1</v>
      </c>
      <c r="AB96" s="185" t="b">
        <f t="shared" si="11"/>
        <v>1</v>
      </c>
    </row>
    <row r="97" spans="1:28" s="179" customFormat="1" ht="75">
      <c r="A97" s="490">
        <v>95</v>
      </c>
      <c r="B97" s="327" t="s">
        <v>317</v>
      </c>
      <c r="C97" s="492" t="s">
        <v>314</v>
      </c>
      <c r="D97" s="327" t="s">
        <v>325</v>
      </c>
      <c r="E97" s="322">
        <v>1212042</v>
      </c>
      <c r="F97" s="328" t="s">
        <v>167</v>
      </c>
      <c r="G97" s="329" t="s">
        <v>326</v>
      </c>
      <c r="H97" s="330" t="s">
        <v>77</v>
      </c>
      <c r="I97" s="331">
        <v>0.873</v>
      </c>
      <c r="J97" s="508" t="s">
        <v>307</v>
      </c>
      <c r="K97" s="497">
        <v>572182.95</v>
      </c>
      <c r="L97" s="557">
        <v>286091</v>
      </c>
      <c r="M97" s="558">
        <v>286091.94999999995</v>
      </c>
      <c r="N97" s="559">
        <v>0.5</v>
      </c>
      <c r="O97" s="560"/>
      <c r="P97" s="560"/>
      <c r="Q97" s="560"/>
      <c r="R97" s="481">
        <v>286091</v>
      </c>
      <c r="S97" s="481"/>
      <c r="T97" s="552"/>
      <c r="U97" s="553"/>
      <c r="V97" s="553"/>
      <c r="W97" s="553"/>
      <c r="X97" s="553"/>
      <c r="Y97" s="156" t="b">
        <f t="shared" si="13"/>
        <v>1</v>
      </c>
      <c r="Z97" s="353">
        <f t="shared" si="12"/>
        <v>0.5</v>
      </c>
      <c r="AA97" s="156" t="b">
        <f t="shared" si="10"/>
        <v>1</v>
      </c>
      <c r="AB97" s="185" t="b">
        <f t="shared" si="11"/>
        <v>1</v>
      </c>
    </row>
    <row r="98" spans="1:28" s="179" customFormat="1" ht="60">
      <c r="A98" s="490">
        <v>96</v>
      </c>
      <c r="B98" s="327" t="s">
        <v>446</v>
      </c>
      <c r="C98" s="492" t="s">
        <v>314</v>
      </c>
      <c r="D98" s="327" t="s">
        <v>297</v>
      </c>
      <c r="E98" s="322">
        <v>1201063</v>
      </c>
      <c r="F98" s="328" t="s">
        <v>176</v>
      </c>
      <c r="G98" s="329" t="s">
        <v>532</v>
      </c>
      <c r="H98" s="330" t="s">
        <v>77</v>
      </c>
      <c r="I98" s="331">
        <v>0.75</v>
      </c>
      <c r="J98" s="508" t="s">
        <v>979</v>
      </c>
      <c r="K98" s="497">
        <v>1048682.45</v>
      </c>
      <c r="L98" s="557">
        <v>629209</v>
      </c>
      <c r="M98" s="558">
        <v>419473.44999999995</v>
      </c>
      <c r="N98" s="559">
        <v>0.6</v>
      </c>
      <c r="O98" s="560"/>
      <c r="P98" s="560"/>
      <c r="Q98" s="560"/>
      <c r="R98" s="481">
        <v>629209</v>
      </c>
      <c r="S98" s="481"/>
      <c r="T98" s="552"/>
      <c r="U98" s="553"/>
      <c r="V98" s="553"/>
      <c r="W98" s="553"/>
      <c r="X98" s="553"/>
      <c r="Y98" s="156" t="b">
        <f t="shared" si="13"/>
        <v>1</v>
      </c>
      <c r="Z98" s="353">
        <f t="shared" si="12"/>
        <v>0.6</v>
      </c>
      <c r="AA98" s="156" t="b">
        <f t="shared" si="10"/>
        <v>1</v>
      </c>
      <c r="AB98" s="185" t="b">
        <f t="shared" si="11"/>
        <v>1</v>
      </c>
    </row>
    <row r="99" spans="1:28" s="179" customFormat="1" ht="75">
      <c r="A99" s="490">
        <v>97</v>
      </c>
      <c r="B99" s="327" t="s">
        <v>447</v>
      </c>
      <c r="C99" s="492" t="s">
        <v>314</v>
      </c>
      <c r="D99" s="327" t="s">
        <v>464</v>
      </c>
      <c r="E99" s="322">
        <v>1205062</v>
      </c>
      <c r="F99" s="328" t="s">
        <v>154</v>
      </c>
      <c r="G99" s="329" t="s">
        <v>533</v>
      </c>
      <c r="H99" s="330" t="s">
        <v>77</v>
      </c>
      <c r="I99" s="331">
        <v>0.734</v>
      </c>
      <c r="J99" s="508" t="s">
        <v>302</v>
      </c>
      <c r="K99" s="497">
        <v>788167.94</v>
      </c>
      <c r="L99" s="557">
        <v>551717</v>
      </c>
      <c r="M99" s="558">
        <v>236450.93999999994</v>
      </c>
      <c r="N99" s="559">
        <v>0.7</v>
      </c>
      <c r="O99" s="560"/>
      <c r="P99" s="560"/>
      <c r="Q99" s="560"/>
      <c r="R99" s="481">
        <v>551717</v>
      </c>
      <c r="S99" s="481"/>
      <c r="T99" s="552"/>
      <c r="U99" s="553"/>
      <c r="V99" s="553"/>
      <c r="W99" s="553"/>
      <c r="X99" s="553"/>
      <c r="Y99" s="156" t="b">
        <f t="shared" si="13"/>
        <v>1</v>
      </c>
      <c r="Z99" s="353">
        <f t="shared" si="12"/>
        <v>0.7</v>
      </c>
      <c r="AA99" s="156" t="b">
        <f aca="true" t="shared" si="14" ref="AA99:AA137">Z99=N99</f>
        <v>1</v>
      </c>
      <c r="AB99" s="185" t="b">
        <f aca="true" t="shared" si="15" ref="AB99:AB120">K99=L99+M99</f>
        <v>1</v>
      </c>
    </row>
    <row r="100" spans="1:28" s="179" customFormat="1" ht="75">
      <c r="A100" s="490">
        <v>98</v>
      </c>
      <c r="B100" s="327" t="s">
        <v>536</v>
      </c>
      <c r="C100" s="492" t="s">
        <v>314</v>
      </c>
      <c r="D100" s="327" t="s">
        <v>537</v>
      </c>
      <c r="E100" s="322">
        <v>1206022</v>
      </c>
      <c r="F100" s="328" t="s">
        <v>130</v>
      </c>
      <c r="G100" s="329" t="s">
        <v>538</v>
      </c>
      <c r="H100" s="330" t="s">
        <v>77</v>
      </c>
      <c r="I100" s="331">
        <v>1.2273</v>
      </c>
      <c r="J100" s="508" t="s">
        <v>539</v>
      </c>
      <c r="K100" s="497">
        <v>1274049.41</v>
      </c>
      <c r="L100" s="557">
        <v>828132</v>
      </c>
      <c r="M100" s="558">
        <v>445917.4099999999</v>
      </c>
      <c r="N100" s="559">
        <v>0.65</v>
      </c>
      <c r="O100" s="560"/>
      <c r="P100" s="560"/>
      <c r="Q100" s="560"/>
      <c r="R100" s="481">
        <v>828132</v>
      </c>
      <c r="S100" s="481"/>
      <c r="T100" s="552"/>
      <c r="U100" s="553"/>
      <c r="V100" s="553"/>
      <c r="W100" s="553"/>
      <c r="X100" s="553"/>
      <c r="Y100" s="156" t="b">
        <f t="shared" si="13"/>
        <v>1</v>
      </c>
      <c r="Z100" s="353">
        <f t="shared" si="12"/>
        <v>0.65</v>
      </c>
      <c r="AA100" s="156" t="b">
        <f t="shared" si="14"/>
        <v>1</v>
      </c>
      <c r="AB100" s="185" t="b">
        <f t="shared" si="15"/>
        <v>1</v>
      </c>
    </row>
    <row r="101" spans="1:28" s="179" customFormat="1" ht="120">
      <c r="A101" s="490">
        <v>99</v>
      </c>
      <c r="B101" s="327" t="s">
        <v>540</v>
      </c>
      <c r="C101" s="492" t="s">
        <v>314</v>
      </c>
      <c r="D101" s="327" t="s">
        <v>541</v>
      </c>
      <c r="E101" s="322">
        <v>1211023</v>
      </c>
      <c r="F101" s="328" t="s">
        <v>128</v>
      </c>
      <c r="G101" s="329" t="s">
        <v>542</v>
      </c>
      <c r="H101" s="330" t="s">
        <v>77</v>
      </c>
      <c r="I101" s="331">
        <v>0.325</v>
      </c>
      <c r="J101" s="508" t="s">
        <v>543</v>
      </c>
      <c r="K101" s="497">
        <v>774768.57</v>
      </c>
      <c r="L101" s="557">
        <v>464861</v>
      </c>
      <c r="M101" s="558">
        <v>309907.56999999995</v>
      </c>
      <c r="N101" s="559">
        <v>0.6</v>
      </c>
      <c r="O101" s="560"/>
      <c r="P101" s="560"/>
      <c r="Q101" s="560"/>
      <c r="R101" s="481">
        <v>464861</v>
      </c>
      <c r="S101" s="481"/>
      <c r="T101" s="552"/>
      <c r="U101" s="553"/>
      <c r="V101" s="553"/>
      <c r="W101" s="553"/>
      <c r="X101" s="553"/>
      <c r="Y101" s="156" t="b">
        <f t="shared" si="13"/>
        <v>1</v>
      </c>
      <c r="Z101" s="353">
        <f t="shared" si="12"/>
        <v>0.6</v>
      </c>
      <c r="AA101" s="156" t="b">
        <f t="shared" si="14"/>
        <v>1</v>
      </c>
      <c r="AB101" s="185" t="b">
        <f t="shared" si="15"/>
        <v>1</v>
      </c>
    </row>
    <row r="102" spans="1:28" s="179" customFormat="1" ht="45">
      <c r="A102" s="490">
        <v>100</v>
      </c>
      <c r="B102" s="327" t="s">
        <v>544</v>
      </c>
      <c r="C102" s="492" t="s">
        <v>314</v>
      </c>
      <c r="D102" s="327" t="s">
        <v>565</v>
      </c>
      <c r="E102" s="322">
        <v>1213052</v>
      </c>
      <c r="F102" s="328" t="s">
        <v>142</v>
      </c>
      <c r="G102" s="329" t="s">
        <v>566</v>
      </c>
      <c r="H102" s="330" t="s">
        <v>72</v>
      </c>
      <c r="I102" s="331">
        <v>0.675</v>
      </c>
      <c r="J102" s="508" t="s">
        <v>567</v>
      </c>
      <c r="K102" s="497">
        <v>1064575.63</v>
      </c>
      <c r="L102" s="557">
        <v>691974</v>
      </c>
      <c r="M102" s="558">
        <v>372601.6299999999</v>
      </c>
      <c r="N102" s="559">
        <v>0.65</v>
      </c>
      <c r="O102" s="560"/>
      <c r="P102" s="560"/>
      <c r="Q102" s="560"/>
      <c r="R102" s="481">
        <v>691974</v>
      </c>
      <c r="S102" s="481"/>
      <c r="T102" s="552"/>
      <c r="U102" s="553"/>
      <c r="V102" s="553"/>
      <c r="W102" s="553"/>
      <c r="X102" s="553"/>
      <c r="Y102" s="156" t="b">
        <f t="shared" si="13"/>
        <v>1</v>
      </c>
      <c r="Z102" s="353">
        <f t="shared" si="12"/>
        <v>0.65</v>
      </c>
      <c r="AA102" s="156" t="b">
        <f t="shared" si="14"/>
        <v>1</v>
      </c>
      <c r="AB102" s="185" t="b">
        <f t="shared" si="15"/>
        <v>1</v>
      </c>
    </row>
    <row r="103" spans="1:28" s="143" customFormat="1" ht="60">
      <c r="A103" s="490">
        <v>101</v>
      </c>
      <c r="B103" s="503" t="s">
        <v>562</v>
      </c>
      <c r="C103" s="566" t="s">
        <v>314</v>
      </c>
      <c r="D103" s="327" t="s">
        <v>598</v>
      </c>
      <c r="E103" s="322">
        <v>1210052</v>
      </c>
      <c r="F103" s="328" t="s">
        <v>162</v>
      </c>
      <c r="G103" s="329" t="s">
        <v>599</v>
      </c>
      <c r="H103" s="330" t="s">
        <v>77</v>
      </c>
      <c r="I103" s="331">
        <v>0.866</v>
      </c>
      <c r="J103" s="508" t="s">
        <v>600</v>
      </c>
      <c r="K103" s="499">
        <v>441873.53</v>
      </c>
      <c r="L103" s="499">
        <f>INT(K103*N103)</f>
        <v>353498</v>
      </c>
      <c r="M103" s="562">
        <f>K103-L103</f>
        <v>88375.53000000003</v>
      </c>
      <c r="N103" s="559">
        <v>0.8</v>
      </c>
      <c r="O103" s="320"/>
      <c r="P103" s="320"/>
      <c r="Q103" s="320"/>
      <c r="R103" s="321">
        <f>L103</f>
        <v>353498</v>
      </c>
      <c r="S103" s="321"/>
      <c r="T103" s="321"/>
      <c r="U103" s="567"/>
      <c r="V103" s="568"/>
      <c r="W103" s="568"/>
      <c r="X103" s="568"/>
      <c r="Y103" s="156" t="b">
        <f t="shared" si="13"/>
        <v>1</v>
      </c>
      <c r="Z103" s="353">
        <f t="shared" si="12"/>
        <v>0.8</v>
      </c>
      <c r="AA103" s="156" t="b">
        <f t="shared" si="14"/>
        <v>1</v>
      </c>
      <c r="AB103" s="185" t="b">
        <f t="shared" si="15"/>
        <v>1</v>
      </c>
    </row>
    <row r="104" spans="1:28" s="157" customFormat="1" ht="45">
      <c r="A104" s="453">
        <v>102</v>
      </c>
      <c r="B104" s="477" t="s">
        <v>619</v>
      </c>
      <c r="C104" s="512" t="s">
        <v>313</v>
      </c>
      <c r="D104" s="477" t="s">
        <v>170</v>
      </c>
      <c r="E104" s="564">
        <v>1212053</v>
      </c>
      <c r="F104" s="554" t="s">
        <v>167</v>
      </c>
      <c r="G104" s="487" t="s">
        <v>726</v>
      </c>
      <c r="H104" s="501" t="s">
        <v>77</v>
      </c>
      <c r="I104" s="502">
        <v>0.3256</v>
      </c>
      <c r="J104" s="369" t="s">
        <v>975</v>
      </c>
      <c r="K104" s="471">
        <v>688192.94</v>
      </c>
      <c r="L104" s="471">
        <v>412915</v>
      </c>
      <c r="M104" s="500">
        <v>275277.93999999994</v>
      </c>
      <c r="N104" s="569">
        <v>0.6</v>
      </c>
      <c r="O104" s="570"/>
      <c r="P104" s="570"/>
      <c r="Q104" s="515"/>
      <c r="R104" s="515">
        <v>250000</v>
      </c>
      <c r="S104" s="515">
        <v>162915</v>
      </c>
      <c r="T104" s="515"/>
      <c r="U104" s="571"/>
      <c r="V104" s="530"/>
      <c r="W104" s="530"/>
      <c r="X104" s="530"/>
      <c r="Y104" s="156" t="b">
        <f t="shared" si="13"/>
        <v>1</v>
      </c>
      <c r="Z104" s="353">
        <f t="shared" si="12"/>
        <v>0.6</v>
      </c>
      <c r="AA104" s="156" t="b">
        <f t="shared" si="14"/>
        <v>1</v>
      </c>
      <c r="AB104" s="185" t="b">
        <f t="shared" si="15"/>
        <v>1</v>
      </c>
    </row>
    <row r="105" spans="1:28" s="179" customFormat="1" ht="45">
      <c r="A105" s="490">
        <v>103</v>
      </c>
      <c r="B105" s="327" t="s">
        <v>614</v>
      </c>
      <c r="C105" s="323" t="s">
        <v>314</v>
      </c>
      <c r="D105" s="327" t="s">
        <v>718</v>
      </c>
      <c r="E105" s="322">
        <v>1205082</v>
      </c>
      <c r="F105" s="328" t="s">
        <v>154</v>
      </c>
      <c r="G105" s="329" t="s">
        <v>719</v>
      </c>
      <c r="H105" s="330" t="s">
        <v>77</v>
      </c>
      <c r="I105" s="331">
        <v>0.68</v>
      </c>
      <c r="J105" s="327" t="s">
        <v>720</v>
      </c>
      <c r="K105" s="499">
        <v>200342.4</v>
      </c>
      <c r="L105" s="499">
        <v>130222</v>
      </c>
      <c r="M105" s="562">
        <v>70120.4</v>
      </c>
      <c r="N105" s="563">
        <v>0.65</v>
      </c>
      <c r="O105" s="572"/>
      <c r="P105" s="572"/>
      <c r="Q105" s="321"/>
      <c r="R105" s="321">
        <v>130222</v>
      </c>
      <c r="S105" s="321"/>
      <c r="T105" s="321"/>
      <c r="U105" s="573"/>
      <c r="V105" s="553"/>
      <c r="W105" s="553"/>
      <c r="X105" s="553"/>
      <c r="Y105" s="156" t="b">
        <f t="shared" si="13"/>
        <v>1</v>
      </c>
      <c r="Z105" s="353">
        <f aca="true" t="shared" si="16" ref="Z105:Z137">ROUND(L105/K105,4)</f>
        <v>0.65</v>
      </c>
      <c r="AA105" s="156" t="b">
        <f t="shared" si="14"/>
        <v>1</v>
      </c>
      <c r="AB105" s="185" t="b">
        <f t="shared" si="15"/>
        <v>1</v>
      </c>
    </row>
    <row r="106" spans="1:28" s="143" customFormat="1" ht="75">
      <c r="A106" s="490">
        <v>104</v>
      </c>
      <c r="B106" s="503" t="s">
        <v>621</v>
      </c>
      <c r="C106" s="566" t="s">
        <v>314</v>
      </c>
      <c r="D106" s="327" t="s">
        <v>728</v>
      </c>
      <c r="E106" s="322">
        <v>1210092</v>
      </c>
      <c r="F106" s="328" t="s">
        <v>162</v>
      </c>
      <c r="G106" s="329" t="s">
        <v>729</v>
      </c>
      <c r="H106" s="330" t="s">
        <v>72</v>
      </c>
      <c r="I106" s="331">
        <v>0.77</v>
      </c>
      <c r="J106" s="508" t="s">
        <v>936</v>
      </c>
      <c r="K106" s="499">
        <v>392960.61</v>
      </c>
      <c r="L106" s="499">
        <v>294720</v>
      </c>
      <c r="M106" s="562">
        <v>98240.60999999999</v>
      </c>
      <c r="N106" s="563">
        <v>0.75</v>
      </c>
      <c r="O106" s="570"/>
      <c r="P106" s="570"/>
      <c r="Q106" s="515"/>
      <c r="R106" s="321">
        <v>294720</v>
      </c>
      <c r="S106" s="321"/>
      <c r="T106" s="321"/>
      <c r="U106" s="573"/>
      <c r="V106" s="553"/>
      <c r="W106" s="553"/>
      <c r="X106" s="553"/>
      <c r="Y106" s="156" t="b">
        <f t="shared" si="13"/>
        <v>1</v>
      </c>
      <c r="Z106" s="353">
        <f t="shared" si="16"/>
        <v>0.75</v>
      </c>
      <c r="AA106" s="156" t="b">
        <f t="shared" si="14"/>
        <v>1</v>
      </c>
      <c r="AB106" s="185" t="b">
        <f t="shared" si="15"/>
        <v>1</v>
      </c>
    </row>
    <row r="107" spans="1:28" s="143" customFormat="1" ht="75">
      <c r="A107" s="490">
        <v>105</v>
      </c>
      <c r="B107" s="503" t="s">
        <v>625</v>
      </c>
      <c r="C107" s="323" t="s">
        <v>314</v>
      </c>
      <c r="D107" s="327" t="s">
        <v>733</v>
      </c>
      <c r="E107" s="322">
        <v>1207072</v>
      </c>
      <c r="F107" s="328" t="s">
        <v>298</v>
      </c>
      <c r="G107" s="329" t="s">
        <v>735</v>
      </c>
      <c r="H107" s="330" t="s">
        <v>77</v>
      </c>
      <c r="I107" s="331">
        <v>2.50446</v>
      </c>
      <c r="J107" s="508" t="s">
        <v>333</v>
      </c>
      <c r="K107" s="499">
        <v>2355107.79</v>
      </c>
      <c r="L107" s="499">
        <f>INT(K107*N107)</f>
        <v>1648575</v>
      </c>
      <c r="M107" s="562">
        <f>K107-L107</f>
        <v>706532.79</v>
      </c>
      <c r="N107" s="563">
        <v>0.7</v>
      </c>
      <c r="O107" s="570"/>
      <c r="P107" s="570"/>
      <c r="Q107" s="515"/>
      <c r="R107" s="321">
        <f>L107</f>
        <v>1648575</v>
      </c>
      <c r="S107" s="321"/>
      <c r="T107" s="321"/>
      <c r="U107" s="573"/>
      <c r="V107" s="553"/>
      <c r="W107" s="553"/>
      <c r="X107" s="553"/>
      <c r="Y107" s="156" t="b">
        <f t="shared" si="13"/>
        <v>1</v>
      </c>
      <c r="Z107" s="353">
        <f t="shared" si="16"/>
        <v>0.7</v>
      </c>
      <c r="AA107" s="156" t="b">
        <f t="shared" si="14"/>
        <v>1</v>
      </c>
      <c r="AB107" s="185" t="b">
        <f t="shared" si="15"/>
        <v>1</v>
      </c>
    </row>
    <row r="108" spans="1:28" s="143" customFormat="1" ht="45">
      <c r="A108" s="490">
        <v>106</v>
      </c>
      <c r="B108" s="503" t="s">
        <v>638</v>
      </c>
      <c r="C108" s="323" t="s">
        <v>314</v>
      </c>
      <c r="D108" s="327" t="s">
        <v>753</v>
      </c>
      <c r="E108" s="322">
        <v>1219022</v>
      </c>
      <c r="F108" s="328" t="s">
        <v>150</v>
      </c>
      <c r="G108" s="329" t="s">
        <v>755</v>
      </c>
      <c r="H108" s="330" t="s">
        <v>77</v>
      </c>
      <c r="I108" s="331">
        <v>0.356</v>
      </c>
      <c r="J108" s="508" t="s">
        <v>720</v>
      </c>
      <c r="K108" s="499">
        <v>312403.55</v>
      </c>
      <c r="L108" s="499">
        <v>187442</v>
      </c>
      <c r="M108" s="562">
        <v>124961.54999999999</v>
      </c>
      <c r="N108" s="563">
        <v>0.6</v>
      </c>
      <c r="O108" s="570"/>
      <c r="P108" s="570"/>
      <c r="Q108" s="515"/>
      <c r="R108" s="321">
        <v>187442</v>
      </c>
      <c r="S108" s="321"/>
      <c r="T108" s="321"/>
      <c r="U108" s="573"/>
      <c r="V108" s="553"/>
      <c r="W108" s="553"/>
      <c r="X108" s="553"/>
      <c r="Y108" s="156" t="b">
        <f t="shared" si="13"/>
        <v>1</v>
      </c>
      <c r="Z108" s="353">
        <f t="shared" si="16"/>
        <v>0.6</v>
      </c>
      <c r="AA108" s="156" t="b">
        <f t="shared" si="14"/>
        <v>1</v>
      </c>
      <c r="AB108" s="185" t="b">
        <f t="shared" si="15"/>
        <v>1</v>
      </c>
    </row>
    <row r="109" spans="1:28" s="143" customFormat="1" ht="75">
      <c r="A109" s="490">
        <v>107</v>
      </c>
      <c r="B109" s="503" t="s">
        <v>640</v>
      </c>
      <c r="C109" s="323" t="s">
        <v>314</v>
      </c>
      <c r="D109" s="327" t="s">
        <v>758</v>
      </c>
      <c r="E109" s="322">
        <v>1206132</v>
      </c>
      <c r="F109" s="328" t="s">
        <v>130</v>
      </c>
      <c r="G109" s="329" t="s">
        <v>759</v>
      </c>
      <c r="H109" s="330" t="s">
        <v>77</v>
      </c>
      <c r="I109" s="331">
        <v>1.365</v>
      </c>
      <c r="J109" s="508" t="s">
        <v>760</v>
      </c>
      <c r="K109" s="499">
        <v>783090.68</v>
      </c>
      <c r="L109" s="499">
        <v>509008</v>
      </c>
      <c r="M109" s="562">
        <v>274082.68000000005</v>
      </c>
      <c r="N109" s="563">
        <v>0.65</v>
      </c>
      <c r="O109" s="570"/>
      <c r="P109" s="570"/>
      <c r="Q109" s="515"/>
      <c r="R109" s="321">
        <v>509008</v>
      </c>
      <c r="S109" s="321"/>
      <c r="T109" s="321"/>
      <c r="U109" s="573"/>
      <c r="V109" s="553"/>
      <c r="W109" s="553"/>
      <c r="X109" s="553"/>
      <c r="Y109" s="156" t="b">
        <f t="shared" si="13"/>
        <v>1</v>
      </c>
      <c r="Z109" s="353">
        <f t="shared" si="16"/>
        <v>0.65</v>
      </c>
      <c r="AA109" s="156" t="b">
        <f t="shared" si="14"/>
        <v>1</v>
      </c>
      <c r="AB109" s="185" t="b">
        <f t="shared" si="15"/>
        <v>1</v>
      </c>
    </row>
    <row r="110" spans="1:28" s="143" customFormat="1" ht="75">
      <c r="A110" s="490">
        <v>108</v>
      </c>
      <c r="B110" s="503" t="s">
        <v>648</v>
      </c>
      <c r="C110" s="323" t="s">
        <v>314</v>
      </c>
      <c r="D110" s="327" t="s">
        <v>773</v>
      </c>
      <c r="E110" s="322">
        <v>1207062</v>
      </c>
      <c r="F110" s="328" t="s">
        <v>298</v>
      </c>
      <c r="G110" s="329" t="s">
        <v>774</v>
      </c>
      <c r="H110" s="330" t="s">
        <v>74</v>
      </c>
      <c r="I110" s="331">
        <v>0.375</v>
      </c>
      <c r="J110" s="508" t="s">
        <v>775</v>
      </c>
      <c r="K110" s="499">
        <v>340545.81</v>
      </c>
      <c r="L110" s="499">
        <f>INT(K110*N110)</f>
        <v>272436</v>
      </c>
      <c r="M110" s="562">
        <f>K110-L110</f>
        <v>68109.81</v>
      </c>
      <c r="N110" s="563">
        <v>0.8</v>
      </c>
      <c r="O110" s="570"/>
      <c r="P110" s="570"/>
      <c r="Q110" s="515"/>
      <c r="R110" s="321">
        <f>L110</f>
        <v>272436</v>
      </c>
      <c r="S110" s="321"/>
      <c r="T110" s="321"/>
      <c r="U110" s="573"/>
      <c r="V110" s="553"/>
      <c r="W110" s="553"/>
      <c r="X110" s="553"/>
      <c r="Y110" s="156" t="b">
        <f t="shared" si="13"/>
        <v>1</v>
      </c>
      <c r="Z110" s="353">
        <f t="shared" si="16"/>
        <v>0.8</v>
      </c>
      <c r="AA110" s="156" t="b">
        <f t="shared" si="14"/>
        <v>1</v>
      </c>
      <c r="AB110" s="185" t="b">
        <f t="shared" si="15"/>
        <v>1</v>
      </c>
    </row>
    <row r="111" spans="1:28" s="143" customFormat="1" ht="45">
      <c r="A111" s="490">
        <v>109</v>
      </c>
      <c r="B111" s="503" t="s">
        <v>649</v>
      </c>
      <c r="C111" s="323" t="s">
        <v>314</v>
      </c>
      <c r="D111" s="327" t="s">
        <v>125</v>
      </c>
      <c r="E111" s="322">
        <v>1209033</v>
      </c>
      <c r="F111" s="328" t="s">
        <v>126</v>
      </c>
      <c r="G111" s="329" t="s">
        <v>776</v>
      </c>
      <c r="H111" s="330" t="s">
        <v>77</v>
      </c>
      <c r="I111" s="331">
        <v>2.31</v>
      </c>
      <c r="J111" s="508" t="s">
        <v>777</v>
      </c>
      <c r="K111" s="499">
        <v>3817122.58</v>
      </c>
      <c r="L111" s="499">
        <f>INT(K111*N111)</f>
        <v>3053698</v>
      </c>
      <c r="M111" s="562">
        <f>K111-L111</f>
        <v>763424.5800000001</v>
      </c>
      <c r="N111" s="563">
        <v>0.8</v>
      </c>
      <c r="O111" s="570"/>
      <c r="P111" s="570"/>
      <c r="Q111" s="515"/>
      <c r="R111" s="321">
        <f>L111</f>
        <v>3053698</v>
      </c>
      <c r="S111" s="321"/>
      <c r="T111" s="321"/>
      <c r="U111" s="573"/>
      <c r="V111" s="553"/>
      <c r="W111" s="553"/>
      <c r="X111" s="553"/>
      <c r="Y111" s="156" t="b">
        <f t="shared" si="13"/>
        <v>1</v>
      </c>
      <c r="Z111" s="353">
        <f t="shared" si="16"/>
        <v>0.8</v>
      </c>
      <c r="AA111" s="156" t="b">
        <f t="shared" si="14"/>
        <v>1</v>
      </c>
      <c r="AB111" s="185" t="b">
        <f t="shared" si="15"/>
        <v>1</v>
      </c>
    </row>
    <row r="112" spans="1:28" s="143" customFormat="1" ht="60">
      <c r="A112" s="490">
        <v>110</v>
      </c>
      <c r="B112" s="503" t="s">
        <v>652</v>
      </c>
      <c r="C112" s="323" t="s">
        <v>314</v>
      </c>
      <c r="D112" s="327" t="s">
        <v>783</v>
      </c>
      <c r="E112" s="322">
        <v>1218072</v>
      </c>
      <c r="F112" s="328" t="s">
        <v>147</v>
      </c>
      <c r="G112" s="329" t="s">
        <v>784</v>
      </c>
      <c r="H112" s="330" t="s">
        <v>77</v>
      </c>
      <c r="I112" s="331">
        <v>1.66</v>
      </c>
      <c r="J112" s="327" t="s">
        <v>785</v>
      </c>
      <c r="K112" s="499">
        <v>613189.42</v>
      </c>
      <c r="L112" s="499">
        <v>398573</v>
      </c>
      <c r="M112" s="562">
        <v>214616.42000000004</v>
      </c>
      <c r="N112" s="563">
        <v>0.65</v>
      </c>
      <c r="O112" s="570"/>
      <c r="P112" s="570"/>
      <c r="Q112" s="515"/>
      <c r="R112" s="321">
        <v>398573</v>
      </c>
      <c r="S112" s="321"/>
      <c r="T112" s="321"/>
      <c r="U112" s="573"/>
      <c r="V112" s="553"/>
      <c r="W112" s="553"/>
      <c r="X112" s="553"/>
      <c r="Y112" s="156" t="b">
        <f t="shared" si="13"/>
        <v>1</v>
      </c>
      <c r="Z112" s="353">
        <f t="shared" si="16"/>
        <v>0.65</v>
      </c>
      <c r="AA112" s="156" t="b">
        <f t="shared" si="14"/>
        <v>1</v>
      </c>
      <c r="AB112" s="185" t="b">
        <f t="shared" si="15"/>
        <v>1</v>
      </c>
    </row>
    <row r="113" spans="1:28" s="143" customFormat="1" ht="90">
      <c r="A113" s="490">
        <v>111</v>
      </c>
      <c r="B113" s="503" t="s">
        <v>654</v>
      </c>
      <c r="C113" s="323" t="s">
        <v>314</v>
      </c>
      <c r="D113" s="327" t="s">
        <v>295</v>
      </c>
      <c r="E113" s="322">
        <v>1218062</v>
      </c>
      <c r="F113" s="328" t="s">
        <v>147</v>
      </c>
      <c r="G113" s="329" t="s">
        <v>787</v>
      </c>
      <c r="H113" s="330" t="s">
        <v>77</v>
      </c>
      <c r="I113" s="331">
        <v>1.532</v>
      </c>
      <c r="J113" s="508" t="s">
        <v>788</v>
      </c>
      <c r="K113" s="499">
        <v>623628.86</v>
      </c>
      <c r="L113" s="499">
        <v>405358</v>
      </c>
      <c r="M113" s="562">
        <v>218270.86</v>
      </c>
      <c r="N113" s="563">
        <v>0.65</v>
      </c>
      <c r="O113" s="570"/>
      <c r="P113" s="570"/>
      <c r="Q113" s="515"/>
      <c r="R113" s="321">
        <v>405358</v>
      </c>
      <c r="S113" s="321"/>
      <c r="T113" s="321"/>
      <c r="U113" s="573"/>
      <c r="V113" s="553"/>
      <c r="W113" s="553"/>
      <c r="X113" s="553"/>
      <c r="Y113" s="156" t="b">
        <f t="shared" si="13"/>
        <v>1</v>
      </c>
      <c r="Z113" s="353">
        <f t="shared" si="16"/>
        <v>0.65</v>
      </c>
      <c r="AA113" s="156" t="b">
        <f t="shared" si="14"/>
        <v>1</v>
      </c>
      <c r="AB113" s="185" t="b">
        <f t="shared" si="15"/>
        <v>1</v>
      </c>
    </row>
    <row r="114" spans="1:28" s="143" customFormat="1" ht="45">
      <c r="A114" s="490">
        <v>112</v>
      </c>
      <c r="B114" s="503" t="s">
        <v>657</v>
      </c>
      <c r="C114" s="566" t="s">
        <v>314</v>
      </c>
      <c r="D114" s="327" t="s">
        <v>180</v>
      </c>
      <c r="E114" s="322">
        <v>1205052</v>
      </c>
      <c r="F114" s="328" t="s">
        <v>154</v>
      </c>
      <c r="G114" s="329" t="s">
        <v>792</v>
      </c>
      <c r="H114" s="330" t="s">
        <v>77</v>
      </c>
      <c r="I114" s="331">
        <v>1.349</v>
      </c>
      <c r="J114" s="508" t="s">
        <v>311</v>
      </c>
      <c r="K114" s="499">
        <v>473911.3</v>
      </c>
      <c r="L114" s="499">
        <v>308042</v>
      </c>
      <c r="M114" s="562">
        <v>165869.3</v>
      </c>
      <c r="N114" s="563">
        <v>0.65</v>
      </c>
      <c r="O114" s="570"/>
      <c r="P114" s="570"/>
      <c r="Q114" s="515"/>
      <c r="R114" s="321">
        <v>308042</v>
      </c>
      <c r="S114" s="321"/>
      <c r="T114" s="321"/>
      <c r="U114" s="573"/>
      <c r="V114" s="553"/>
      <c r="W114" s="553"/>
      <c r="X114" s="553"/>
      <c r="Y114" s="156" t="b">
        <f t="shared" si="13"/>
        <v>1</v>
      </c>
      <c r="Z114" s="353">
        <f t="shared" si="16"/>
        <v>0.65</v>
      </c>
      <c r="AA114" s="156" t="b">
        <f t="shared" si="14"/>
        <v>1</v>
      </c>
      <c r="AB114" s="185" t="b">
        <f t="shared" si="15"/>
        <v>1</v>
      </c>
    </row>
    <row r="115" spans="1:28" s="143" customFormat="1" ht="45">
      <c r="A115" s="490">
        <v>113</v>
      </c>
      <c r="B115" s="503" t="s">
        <v>679</v>
      </c>
      <c r="C115" s="566" t="s">
        <v>314</v>
      </c>
      <c r="D115" s="327" t="s">
        <v>832</v>
      </c>
      <c r="E115" s="322">
        <v>1212062</v>
      </c>
      <c r="F115" s="328" t="s">
        <v>167</v>
      </c>
      <c r="G115" s="329" t="s">
        <v>833</v>
      </c>
      <c r="H115" s="330" t="s">
        <v>77</v>
      </c>
      <c r="I115" s="331">
        <v>0.47</v>
      </c>
      <c r="J115" s="508" t="s">
        <v>304</v>
      </c>
      <c r="K115" s="499">
        <v>118917.51</v>
      </c>
      <c r="L115" s="499">
        <v>65404</v>
      </c>
      <c r="M115" s="562">
        <v>53513.509999999995</v>
      </c>
      <c r="N115" s="563">
        <v>0.55</v>
      </c>
      <c r="O115" s="570"/>
      <c r="P115" s="570"/>
      <c r="Q115" s="515"/>
      <c r="R115" s="321">
        <v>65404</v>
      </c>
      <c r="S115" s="321"/>
      <c r="T115" s="321"/>
      <c r="U115" s="573"/>
      <c r="V115" s="553"/>
      <c r="W115" s="553"/>
      <c r="X115" s="553"/>
      <c r="Y115" s="156" t="b">
        <f t="shared" si="13"/>
        <v>1</v>
      </c>
      <c r="Z115" s="353">
        <f t="shared" si="16"/>
        <v>0.55</v>
      </c>
      <c r="AA115" s="156" t="b">
        <f t="shared" si="14"/>
        <v>1</v>
      </c>
      <c r="AB115" s="185" t="b">
        <f t="shared" si="15"/>
        <v>1</v>
      </c>
    </row>
    <row r="116" spans="1:28" s="143" customFormat="1" ht="60">
      <c r="A116" s="490">
        <v>114</v>
      </c>
      <c r="B116" s="503" t="s">
        <v>682</v>
      </c>
      <c r="C116" s="566" t="s">
        <v>314</v>
      </c>
      <c r="D116" s="327" t="s">
        <v>836</v>
      </c>
      <c r="E116" s="574">
        <v>1215042</v>
      </c>
      <c r="F116" s="328" t="s">
        <v>576</v>
      </c>
      <c r="G116" s="329" t="s">
        <v>837</v>
      </c>
      <c r="H116" s="330" t="s">
        <v>77</v>
      </c>
      <c r="I116" s="331">
        <v>0.137</v>
      </c>
      <c r="J116" s="508" t="s">
        <v>838</v>
      </c>
      <c r="K116" s="499">
        <v>122402.81</v>
      </c>
      <c r="L116" s="499">
        <v>67321</v>
      </c>
      <c r="M116" s="562">
        <v>55081.81</v>
      </c>
      <c r="N116" s="563">
        <v>0.55</v>
      </c>
      <c r="O116" s="570"/>
      <c r="P116" s="570"/>
      <c r="Q116" s="515"/>
      <c r="R116" s="321">
        <v>67321</v>
      </c>
      <c r="S116" s="321"/>
      <c r="T116" s="321"/>
      <c r="U116" s="573"/>
      <c r="V116" s="553"/>
      <c r="W116" s="553"/>
      <c r="X116" s="553"/>
      <c r="Y116" s="156" t="b">
        <f t="shared" si="13"/>
        <v>1</v>
      </c>
      <c r="Z116" s="353">
        <f t="shared" si="16"/>
        <v>0.55</v>
      </c>
      <c r="AA116" s="156" t="b">
        <f t="shared" si="14"/>
        <v>1</v>
      </c>
      <c r="AB116" s="185" t="b">
        <f t="shared" si="15"/>
        <v>1</v>
      </c>
    </row>
    <row r="117" spans="1:28" s="143" customFormat="1" ht="60">
      <c r="A117" s="490">
        <v>115</v>
      </c>
      <c r="B117" s="503" t="s">
        <v>688</v>
      </c>
      <c r="C117" s="566" t="s">
        <v>314</v>
      </c>
      <c r="D117" s="327" t="s">
        <v>846</v>
      </c>
      <c r="E117" s="574">
        <v>1205102</v>
      </c>
      <c r="F117" s="328" t="s">
        <v>154</v>
      </c>
      <c r="G117" s="329" t="s">
        <v>952</v>
      </c>
      <c r="H117" s="330" t="s">
        <v>77</v>
      </c>
      <c r="I117" s="331">
        <v>0.425</v>
      </c>
      <c r="J117" s="508" t="s">
        <v>847</v>
      </c>
      <c r="K117" s="499">
        <v>154394.21</v>
      </c>
      <c r="L117" s="499">
        <v>77197</v>
      </c>
      <c r="M117" s="562">
        <v>77197.20999999999</v>
      </c>
      <c r="N117" s="563">
        <v>0.5</v>
      </c>
      <c r="O117" s="570"/>
      <c r="P117" s="570"/>
      <c r="Q117" s="515"/>
      <c r="R117" s="321">
        <v>77197</v>
      </c>
      <c r="S117" s="321"/>
      <c r="T117" s="321"/>
      <c r="U117" s="573"/>
      <c r="V117" s="553"/>
      <c r="W117" s="553"/>
      <c r="X117" s="553"/>
      <c r="Y117" s="156" t="b">
        <f t="shared" si="13"/>
        <v>1</v>
      </c>
      <c r="Z117" s="353">
        <f t="shared" si="16"/>
        <v>0.5</v>
      </c>
      <c r="AA117" s="156" t="b">
        <f t="shared" si="14"/>
        <v>1</v>
      </c>
      <c r="AB117" s="185" t="b">
        <f t="shared" si="15"/>
        <v>1</v>
      </c>
    </row>
    <row r="118" spans="1:28" s="143" customFormat="1" ht="60">
      <c r="A118" s="490">
        <v>116</v>
      </c>
      <c r="B118" s="503" t="s">
        <v>690</v>
      </c>
      <c r="C118" s="566" t="s">
        <v>314</v>
      </c>
      <c r="D118" s="327" t="s">
        <v>848</v>
      </c>
      <c r="E118" s="574">
        <v>1207082</v>
      </c>
      <c r="F118" s="328" t="s">
        <v>298</v>
      </c>
      <c r="G118" s="329" t="s">
        <v>849</v>
      </c>
      <c r="H118" s="330" t="s">
        <v>77</v>
      </c>
      <c r="I118" s="331">
        <v>0.2892</v>
      </c>
      <c r="J118" s="508" t="s">
        <v>850</v>
      </c>
      <c r="K118" s="499">
        <v>321639.01</v>
      </c>
      <c r="L118" s="499">
        <f>INT(K118*N118)</f>
        <v>257311</v>
      </c>
      <c r="M118" s="562">
        <f>K118-L118</f>
        <v>64328.01000000001</v>
      </c>
      <c r="N118" s="563">
        <v>0.8</v>
      </c>
      <c r="O118" s="570"/>
      <c r="P118" s="570"/>
      <c r="Q118" s="515"/>
      <c r="R118" s="321">
        <f>L118</f>
        <v>257311</v>
      </c>
      <c r="S118" s="321"/>
      <c r="T118" s="321"/>
      <c r="U118" s="573"/>
      <c r="V118" s="553"/>
      <c r="W118" s="553"/>
      <c r="X118" s="553"/>
      <c r="Y118" s="156" t="b">
        <f t="shared" si="13"/>
        <v>1</v>
      </c>
      <c r="Z118" s="353">
        <f t="shared" si="16"/>
        <v>0.8</v>
      </c>
      <c r="AA118" s="156" t="b">
        <f t="shared" si="14"/>
        <v>1</v>
      </c>
      <c r="AB118" s="185" t="b">
        <f t="shared" si="15"/>
        <v>1</v>
      </c>
    </row>
    <row r="119" spans="1:28" s="143" customFormat="1" ht="75">
      <c r="A119" s="490">
        <v>117</v>
      </c>
      <c r="B119" s="503" t="s">
        <v>696</v>
      </c>
      <c r="C119" s="566" t="s">
        <v>314</v>
      </c>
      <c r="D119" s="327" t="s">
        <v>861</v>
      </c>
      <c r="E119" s="322">
        <v>1204023</v>
      </c>
      <c r="F119" s="328" t="s">
        <v>781</v>
      </c>
      <c r="G119" s="329" t="s">
        <v>862</v>
      </c>
      <c r="H119" s="330" t="s">
        <v>77</v>
      </c>
      <c r="I119" s="331">
        <v>0.995</v>
      </c>
      <c r="J119" s="508" t="s">
        <v>863</v>
      </c>
      <c r="K119" s="499">
        <v>822449.14</v>
      </c>
      <c r="L119" s="499">
        <v>534591</v>
      </c>
      <c r="M119" s="562">
        <v>287858.14</v>
      </c>
      <c r="N119" s="563">
        <v>0.65</v>
      </c>
      <c r="O119" s="570"/>
      <c r="P119" s="570"/>
      <c r="Q119" s="515"/>
      <c r="R119" s="321">
        <v>534591</v>
      </c>
      <c r="S119" s="321"/>
      <c r="T119" s="321"/>
      <c r="U119" s="573"/>
      <c r="V119" s="553"/>
      <c r="W119" s="553"/>
      <c r="X119" s="575"/>
      <c r="Y119" s="156" t="b">
        <f t="shared" si="13"/>
        <v>1</v>
      </c>
      <c r="Z119" s="353">
        <f t="shared" si="16"/>
        <v>0.65</v>
      </c>
      <c r="AA119" s="156" t="b">
        <f t="shared" si="14"/>
        <v>1</v>
      </c>
      <c r="AB119" s="185" t="b">
        <f t="shared" si="15"/>
        <v>1</v>
      </c>
    </row>
    <row r="120" spans="1:28" s="179" customFormat="1" ht="90">
      <c r="A120" s="490">
        <v>118</v>
      </c>
      <c r="B120" s="327" t="s">
        <v>616</v>
      </c>
      <c r="C120" s="323" t="s">
        <v>314</v>
      </c>
      <c r="D120" s="327" t="s">
        <v>146</v>
      </c>
      <c r="E120" s="322">
        <v>1218093</v>
      </c>
      <c r="F120" s="328" t="s">
        <v>147</v>
      </c>
      <c r="G120" s="329" t="s">
        <v>722</v>
      </c>
      <c r="H120" s="330" t="s">
        <v>77</v>
      </c>
      <c r="I120" s="331">
        <v>0.47</v>
      </c>
      <c r="J120" s="327" t="s">
        <v>723</v>
      </c>
      <c r="K120" s="499">
        <v>379021.04</v>
      </c>
      <c r="L120" s="499">
        <v>227412</v>
      </c>
      <c r="M120" s="562">
        <v>151609.03999999998</v>
      </c>
      <c r="N120" s="563">
        <v>0.6</v>
      </c>
      <c r="O120" s="572"/>
      <c r="P120" s="572"/>
      <c r="Q120" s="321"/>
      <c r="R120" s="321">
        <v>227412</v>
      </c>
      <c r="S120" s="321"/>
      <c r="T120" s="321"/>
      <c r="U120" s="573"/>
      <c r="V120" s="553"/>
      <c r="W120" s="553"/>
      <c r="X120" s="553"/>
      <c r="Y120" s="156" t="b">
        <f t="shared" si="13"/>
        <v>1</v>
      </c>
      <c r="Z120" s="353">
        <f t="shared" si="16"/>
        <v>0.6</v>
      </c>
      <c r="AA120" s="156" t="b">
        <f t="shared" si="14"/>
        <v>1</v>
      </c>
      <c r="AB120" s="185" t="b">
        <f t="shared" si="15"/>
        <v>1</v>
      </c>
    </row>
    <row r="121" spans="1:28" s="157" customFormat="1" ht="60">
      <c r="A121" s="453">
        <v>119</v>
      </c>
      <c r="B121" s="477" t="s">
        <v>622</v>
      </c>
      <c r="C121" s="512" t="s">
        <v>313</v>
      </c>
      <c r="D121" s="477" t="s">
        <v>730</v>
      </c>
      <c r="E121" s="486">
        <v>1214053</v>
      </c>
      <c r="F121" s="554" t="s">
        <v>143</v>
      </c>
      <c r="G121" s="487" t="s">
        <v>731</v>
      </c>
      <c r="H121" s="501" t="s">
        <v>74</v>
      </c>
      <c r="I121" s="502">
        <v>0.0431</v>
      </c>
      <c r="J121" s="369" t="s">
        <v>963</v>
      </c>
      <c r="K121" s="471">
        <v>548879.94</v>
      </c>
      <c r="L121" s="471">
        <v>356771</v>
      </c>
      <c r="M121" s="500">
        <v>192108.93999999994</v>
      </c>
      <c r="N121" s="569">
        <v>0.65</v>
      </c>
      <c r="O121" s="570"/>
      <c r="P121" s="570"/>
      <c r="Q121" s="515"/>
      <c r="R121" s="515">
        <v>216955</v>
      </c>
      <c r="S121" s="515">
        <v>139816</v>
      </c>
      <c r="T121" s="515"/>
      <c r="U121" s="571"/>
      <c r="V121" s="530"/>
      <c r="W121" s="530"/>
      <c r="X121" s="530"/>
      <c r="Y121" s="156" t="b">
        <f t="shared" si="13"/>
        <v>1</v>
      </c>
      <c r="Z121" s="353">
        <f t="shared" si="16"/>
        <v>0.65</v>
      </c>
      <c r="AA121" s="156" t="b">
        <f t="shared" si="14"/>
        <v>1</v>
      </c>
      <c r="AB121" s="185" t="b">
        <f aca="true" t="shared" si="17" ref="AB121:AB137">K121=L121+M121</f>
        <v>1</v>
      </c>
    </row>
    <row r="122" spans="1:28" s="179" customFormat="1" ht="60">
      <c r="A122" s="490">
        <v>120</v>
      </c>
      <c r="B122" s="327" t="s">
        <v>397</v>
      </c>
      <c r="C122" s="492" t="s">
        <v>314</v>
      </c>
      <c r="D122" s="327" t="s">
        <v>453</v>
      </c>
      <c r="E122" s="322">
        <v>1216082</v>
      </c>
      <c r="F122" s="328" t="s">
        <v>161</v>
      </c>
      <c r="G122" s="329" t="s">
        <v>475</v>
      </c>
      <c r="H122" s="330" t="s">
        <v>72</v>
      </c>
      <c r="I122" s="331">
        <v>0.28251</v>
      </c>
      <c r="J122" s="508" t="s">
        <v>476</v>
      </c>
      <c r="K122" s="497">
        <v>681466.26</v>
      </c>
      <c r="L122" s="557">
        <v>408879</v>
      </c>
      <c r="M122" s="558">
        <v>272587.26</v>
      </c>
      <c r="N122" s="559">
        <v>0.6</v>
      </c>
      <c r="O122" s="560"/>
      <c r="P122" s="560"/>
      <c r="Q122" s="560"/>
      <c r="R122" s="481">
        <v>408879</v>
      </c>
      <c r="S122" s="481"/>
      <c r="T122" s="561"/>
      <c r="U122" s="321"/>
      <c r="V122" s="320"/>
      <c r="W122" s="320"/>
      <c r="X122" s="320"/>
      <c r="Y122" s="156" t="b">
        <f t="shared" si="13"/>
        <v>1</v>
      </c>
      <c r="Z122" s="353">
        <f t="shared" si="16"/>
        <v>0.6</v>
      </c>
      <c r="AA122" s="156" t="b">
        <f t="shared" si="14"/>
        <v>1</v>
      </c>
      <c r="AB122" s="185" t="b">
        <f t="shared" si="17"/>
        <v>1</v>
      </c>
    </row>
    <row r="123" spans="1:28" s="179" customFormat="1" ht="90">
      <c r="A123" s="490">
        <v>121</v>
      </c>
      <c r="B123" s="327" t="s">
        <v>399</v>
      </c>
      <c r="C123" s="492" t="s">
        <v>314</v>
      </c>
      <c r="D123" s="327" t="s">
        <v>452</v>
      </c>
      <c r="E123" s="322">
        <v>1217011</v>
      </c>
      <c r="F123" s="328" t="s">
        <v>139</v>
      </c>
      <c r="G123" s="329" t="s">
        <v>478</v>
      </c>
      <c r="H123" s="330" t="s">
        <v>72</v>
      </c>
      <c r="I123" s="331">
        <v>0.12577</v>
      </c>
      <c r="J123" s="508" t="s">
        <v>300</v>
      </c>
      <c r="K123" s="497">
        <v>1186615.68</v>
      </c>
      <c r="L123" s="557">
        <v>593307</v>
      </c>
      <c r="M123" s="558">
        <v>593308.6799999999</v>
      </c>
      <c r="N123" s="559">
        <v>0.5</v>
      </c>
      <c r="O123" s="560"/>
      <c r="P123" s="560"/>
      <c r="Q123" s="560"/>
      <c r="R123" s="481">
        <v>593307</v>
      </c>
      <c r="S123" s="481"/>
      <c r="T123" s="561"/>
      <c r="U123" s="553"/>
      <c r="V123" s="553"/>
      <c r="W123" s="553"/>
      <c r="X123" s="553"/>
      <c r="Y123" s="156" t="b">
        <f t="shared" si="13"/>
        <v>1</v>
      </c>
      <c r="Z123" s="353">
        <f t="shared" si="16"/>
        <v>0.5</v>
      </c>
      <c r="AA123" s="156" t="b">
        <f t="shared" si="14"/>
        <v>1</v>
      </c>
      <c r="AB123" s="185" t="b">
        <f t="shared" si="17"/>
        <v>1</v>
      </c>
    </row>
    <row r="124" spans="1:28" s="179" customFormat="1" ht="60">
      <c r="A124" s="490">
        <v>122</v>
      </c>
      <c r="B124" s="327" t="s">
        <v>415</v>
      </c>
      <c r="C124" s="492" t="s">
        <v>314</v>
      </c>
      <c r="D124" s="327" t="s">
        <v>133</v>
      </c>
      <c r="E124" s="322">
        <v>1206063</v>
      </c>
      <c r="F124" s="328" t="s">
        <v>130</v>
      </c>
      <c r="G124" s="329" t="s">
        <v>495</v>
      </c>
      <c r="H124" s="330" t="s">
        <v>74</v>
      </c>
      <c r="I124" s="331">
        <v>0.35129</v>
      </c>
      <c r="J124" s="508" t="s">
        <v>496</v>
      </c>
      <c r="K124" s="497">
        <v>546134.89</v>
      </c>
      <c r="L124" s="557">
        <v>327680</v>
      </c>
      <c r="M124" s="558">
        <v>218454.89</v>
      </c>
      <c r="N124" s="559">
        <v>0.6</v>
      </c>
      <c r="O124" s="560"/>
      <c r="P124" s="560"/>
      <c r="Q124" s="560"/>
      <c r="R124" s="481">
        <v>327680</v>
      </c>
      <c r="S124" s="481"/>
      <c r="T124" s="561"/>
      <c r="U124" s="553"/>
      <c r="V124" s="553"/>
      <c r="W124" s="553"/>
      <c r="X124" s="553"/>
      <c r="Y124" s="156" t="b">
        <f t="shared" si="13"/>
        <v>1</v>
      </c>
      <c r="Z124" s="353">
        <f t="shared" si="16"/>
        <v>0.6</v>
      </c>
      <c r="AA124" s="156" t="b">
        <f t="shared" si="14"/>
        <v>1</v>
      </c>
      <c r="AB124" s="185" t="b">
        <f t="shared" si="17"/>
        <v>1</v>
      </c>
    </row>
    <row r="125" spans="1:28" s="157" customFormat="1" ht="45">
      <c r="A125" s="453">
        <v>123</v>
      </c>
      <c r="B125" s="477" t="s">
        <v>422</v>
      </c>
      <c r="C125" s="455" t="s">
        <v>313</v>
      </c>
      <c r="D125" s="477" t="s">
        <v>450</v>
      </c>
      <c r="E125" s="486">
        <v>1216153</v>
      </c>
      <c r="F125" s="554" t="s">
        <v>161</v>
      </c>
      <c r="G125" s="487" t="s">
        <v>504</v>
      </c>
      <c r="H125" s="501" t="s">
        <v>72</v>
      </c>
      <c r="I125" s="502">
        <v>0.207</v>
      </c>
      <c r="J125" s="369" t="s">
        <v>469</v>
      </c>
      <c r="K125" s="460">
        <v>556990.07</v>
      </c>
      <c r="L125" s="546">
        <v>362043</v>
      </c>
      <c r="M125" s="548">
        <v>194947.06999999995</v>
      </c>
      <c r="N125" s="555">
        <v>0.65</v>
      </c>
      <c r="O125" s="469"/>
      <c r="P125" s="469"/>
      <c r="Q125" s="469"/>
      <c r="R125" s="470">
        <v>95202</v>
      </c>
      <c r="S125" s="470">
        <v>266841</v>
      </c>
      <c r="T125" s="556"/>
      <c r="U125" s="530"/>
      <c r="V125" s="530"/>
      <c r="W125" s="530"/>
      <c r="X125" s="530"/>
      <c r="Y125" s="156" t="b">
        <f t="shared" si="13"/>
        <v>1</v>
      </c>
      <c r="Z125" s="353">
        <f t="shared" si="16"/>
        <v>0.65</v>
      </c>
      <c r="AA125" s="156" t="b">
        <f t="shared" si="14"/>
        <v>1</v>
      </c>
      <c r="AB125" s="185" t="b">
        <f t="shared" si="17"/>
        <v>1</v>
      </c>
    </row>
    <row r="126" spans="1:28" s="157" customFormat="1" ht="75">
      <c r="A126" s="490">
        <v>124</v>
      </c>
      <c r="B126" s="327" t="s">
        <v>703</v>
      </c>
      <c r="C126" s="323" t="s">
        <v>314</v>
      </c>
      <c r="D126" s="327" t="s">
        <v>861</v>
      </c>
      <c r="E126" s="322">
        <v>1204023</v>
      </c>
      <c r="F126" s="328" t="s">
        <v>781</v>
      </c>
      <c r="G126" s="329" t="s">
        <v>872</v>
      </c>
      <c r="H126" s="330" t="s">
        <v>77</v>
      </c>
      <c r="I126" s="331">
        <v>0.59</v>
      </c>
      <c r="J126" s="508" t="s">
        <v>863</v>
      </c>
      <c r="K126" s="499">
        <v>496230.61</v>
      </c>
      <c r="L126" s="499">
        <f aca="true" t="shared" si="18" ref="L126:L136">INT(K126*N126)</f>
        <v>396984</v>
      </c>
      <c r="M126" s="562">
        <f aca="true" t="shared" si="19" ref="M126:M136">K126-L126</f>
        <v>99246.60999999999</v>
      </c>
      <c r="N126" s="563">
        <v>0.8</v>
      </c>
      <c r="O126" s="572"/>
      <c r="P126" s="572"/>
      <c r="Q126" s="321"/>
      <c r="R126" s="321">
        <f aca="true" t="shared" si="20" ref="R126:R136">L126</f>
        <v>396984</v>
      </c>
      <c r="S126" s="321"/>
      <c r="T126" s="321"/>
      <c r="U126" s="573"/>
      <c r="V126" s="553"/>
      <c r="W126" s="553"/>
      <c r="X126" s="553"/>
      <c r="Y126" s="156" t="b">
        <f aca="true" t="shared" si="21" ref="Y126:Y136">L126=SUM(O126:X126)</f>
        <v>1</v>
      </c>
      <c r="Z126" s="353">
        <f aca="true" t="shared" si="22" ref="Z126:Z136">ROUND(L126/K126,4)</f>
        <v>0.8</v>
      </c>
      <c r="AA126" s="156" t="b">
        <f aca="true" t="shared" si="23" ref="AA126:AA136">Z126=N126</f>
        <v>1</v>
      </c>
      <c r="AB126" s="185" t="b">
        <f t="shared" si="17"/>
        <v>1</v>
      </c>
    </row>
    <row r="127" spans="1:28" s="157" customFormat="1" ht="60">
      <c r="A127" s="490">
        <v>125</v>
      </c>
      <c r="B127" s="327" t="s">
        <v>644</v>
      </c>
      <c r="C127" s="323" t="s">
        <v>314</v>
      </c>
      <c r="D127" s="327" t="s">
        <v>758</v>
      </c>
      <c r="E127" s="322">
        <v>1206132</v>
      </c>
      <c r="F127" s="328" t="s">
        <v>130</v>
      </c>
      <c r="G127" s="329" t="s">
        <v>768</v>
      </c>
      <c r="H127" s="330" t="s">
        <v>77</v>
      </c>
      <c r="I127" s="331">
        <v>0.80675</v>
      </c>
      <c r="J127" s="508" t="s">
        <v>760</v>
      </c>
      <c r="K127" s="499">
        <v>804151.12</v>
      </c>
      <c r="L127" s="499">
        <f t="shared" si="18"/>
        <v>643320</v>
      </c>
      <c r="M127" s="562">
        <f t="shared" si="19"/>
        <v>160831.12</v>
      </c>
      <c r="N127" s="563">
        <v>0.8</v>
      </c>
      <c r="O127" s="572"/>
      <c r="P127" s="572"/>
      <c r="Q127" s="321"/>
      <c r="R127" s="321">
        <f t="shared" si="20"/>
        <v>643320</v>
      </c>
      <c r="S127" s="321"/>
      <c r="T127" s="321"/>
      <c r="U127" s="573"/>
      <c r="V127" s="553"/>
      <c r="W127" s="553"/>
      <c r="X127" s="553"/>
      <c r="Y127" s="156" t="b">
        <f t="shared" si="21"/>
        <v>1</v>
      </c>
      <c r="Z127" s="353">
        <f t="shared" si="22"/>
        <v>0.8</v>
      </c>
      <c r="AA127" s="156" t="b">
        <f t="shared" si="23"/>
        <v>1</v>
      </c>
      <c r="AB127" s="185" t="b">
        <f t="shared" si="17"/>
        <v>1</v>
      </c>
    </row>
    <row r="128" spans="1:28" s="157" customFormat="1" ht="60">
      <c r="A128" s="490">
        <v>126</v>
      </c>
      <c r="B128" s="576" t="s">
        <v>560</v>
      </c>
      <c r="C128" s="323" t="s">
        <v>314</v>
      </c>
      <c r="D128" s="327" t="s">
        <v>213</v>
      </c>
      <c r="E128" s="322">
        <v>1216162</v>
      </c>
      <c r="F128" s="328" t="s">
        <v>161</v>
      </c>
      <c r="G128" s="329" t="s">
        <v>594</v>
      </c>
      <c r="H128" s="330" t="s">
        <v>77</v>
      </c>
      <c r="I128" s="331">
        <v>0.945</v>
      </c>
      <c r="J128" s="508" t="s">
        <v>948</v>
      </c>
      <c r="K128" s="499">
        <v>613646.44</v>
      </c>
      <c r="L128" s="499">
        <f t="shared" si="18"/>
        <v>490917</v>
      </c>
      <c r="M128" s="562">
        <f t="shared" si="19"/>
        <v>122729.43999999994</v>
      </c>
      <c r="N128" s="563">
        <v>0.8</v>
      </c>
      <c r="O128" s="572"/>
      <c r="P128" s="572"/>
      <c r="Q128" s="321"/>
      <c r="R128" s="321">
        <f t="shared" si="20"/>
        <v>490917</v>
      </c>
      <c r="S128" s="321"/>
      <c r="T128" s="321"/>
      <c r="U128" s="573"/>
      <c r="V128" s="553"/>
      <c r="W128" s="320"/>
      <c r="X128" s="320"/>
      <c r="Y128" s="156" t="b">
        <f t="shared" si="21"/>
        <v>1</v>
      </c>
      <c r="Z128" s="353">
        <f t="shared" si="22"/>
        <v>0.8</v>
      </c>
      <c r="AA128" s="156" t="b">
        <f t="shared" si="23"/>
        <v>1</v>
      </c>
      <c r="AB128" s="185" t="b">
        <f t="shared" si="17"/>
        <v>1</v>
      </c>
    </row>
    <row r="129" spans="1:28" s="157" customFormat="1" ht="60">
      <c r="A129" s="490">
        <v>127</v>
      </c>
      <c r="B129" s="576" t="s">
        <v>561</v>
      </c>
      <c r="C129" s="323" t="s">
        <v>314</v>
      </c>
      <c r="D129" s="327" t="s">
        <v>595</v>
      </c>
      <c r="E129" s="322">
        <v>1202072</v>
      </c>
      <c r="F129" s="328" t="s">
        <v>152</v>
      </c>
      <c r="G129" s="329" t="s">
        <v>596</v>
      </c>
      <c r="H129" s="330" t="s">
        <v>77</v>
      </c>
      <c r="I129" s="331">
        <v>0.89</v>
      </c>
      <c r="J129" s="508" t="s">
        <v>597</v>
      </c>
      <c r="K129" s="499">
        <v>354878.83</v>
      </c>
      <c r="L129" s="499">
        <f t="shared" si="18"/>
        <v>283903</v>
      </c>
      <c r="M129" s="562">
        <f t="shared" si="19"/>
        <v>70975.83000000002</v>
      </c>
      <c r="N129" s="563">
        <v>0.8</v>
      </c>
      <c r="O129" s="572"/>
      <c r="P129" s="572"/>
      <c r="Q129" s="321"/>
      <c r="R129" s="321">
        <f t="shared" si="20"/>
        <v>283903</v>
      </c>
      <c r="S129" s="321"/>
      <c r="T129" s="321"/>
      <c r="U129" s="573"/>
      <c r="V129" s="553"/>
      <c r="W129" s="320"/>
      <c r="X129" s="320"/>
      <c r="Y129" s="156" t="b">
        <f t="shared" si="21"/>
        <v>1</v>
      </c>
      <c r="Z129" s="353">
        <f t="shared" si="22"/>
        <v>0.8</v>
      </c>
      <c r="AA129" s="156" t="b">
        <f t="shared" si="23"/>
        <v>1</v>
      </c>
      <c r="AB129" s="185" t="b">
        <f t="shared" si="17"/>
        <v>1</v>
      </c>
    </row>
    <row r="130" spans="1:28" s="157" customFormat="1" ht="60">
      <c r="A130" s="490">
        <v>128</v>
      </c>
      <c r="B130" s="576" t="s">
        <v>612</v>
      </c>
      <c r="C130" s="323" t="s">
        <v>314</v>
      </c>
      <c r="D130" s="327" t="s">
        <v>290</v>
      </c>
      <c r="E130" s="322">
        <v>1210062</v>
      </c>
      <c r="F130" s="328" t="s">
        <v>162</v>
      </c>
      <c r="G130" s="329" t="s">
        <v>716</v>
      </c>
      <c r="H130" s="330" t="s">
        <v>77</v>
      </c>
      <c r="I130" s="331">
        <v>1.445</v>
      </c>
      <c r="J130" s="508" t="s">
        <v>944</v>
      </c>
      <c r="K130" s="499">
        <v>1762047.11</v>
      </c>
      <c r="L130" s="499">
        <f t="shared" si="18"/>
        <v>1233432</v>
      </c>
      <c r="M130" s="562">
        <f t="shared" si="19"/>
        <v>528615.1100000001</v>
      </c>
      <c r="N130" s="563">
        <v>0.7</v>
      </c>
      <c r="O130" s="572"/>
      <c r="P130" s="572"/>
      <c r="Q130" s="321"/>
      <c r="R130" s="321">
        <f t="shared" si="20"/>
        <v>1233432</v>
      </c>
      <c r="S130" s="321"/>
      <c r="T130" s="321"/>
      <c r="U130" s="573"/>
      <c r="V130" s="553"/>
      <c r="W130" s="320"/>
      <c r="X130" s="320"/>
      <c r="Y130" s="156" t="b">
        <f t="shared" si="21"/>
        <v>1</v>
      </c>
      <c r="Z130" s="353">
        <f t="shared" si="22"/>
        <v>0.7</v>
      </c>
      <c r="AA130" s="156" t="b">
        <f t="shared" si="23"/>
        <v>1</v>
      </c>
      <c r="AB130" s="185" t="b">
        <f t="shared" si="17"/>
        <v>1</v>
      </c>
    </row>
    <row r="131" spans="1:28" s="157" customFormat="1" ht="45">
      <c r="A131" s="490">
        <v>129</v>
      </c>
      <c r="B131" s="576" t="s">
        <v>707</v>
      </c>
      <c r="C131" s="323" t="s">
        <v>314</v>
      </c>
      <c r="D131" s="327" t="s">
        <v>718</v>
      </c>
      <c r="E131" s="322">
        <v>1205082</v>
      </c>
      <c r="F131" s="328" t="s">
        <v>154</v>
      </c>
      <c r="G131" s="329" t="s">
        <v>876</v>
      </c>
      <c r="H131" s="330" t="s">
        <v>77</v>
      </c>
      <c r="I131" s="331">
        <v>0.39</v>
      </c>
      <c r="J131" s="508" t="s">
        <v>720</v>
      </c>
      <c r="K131" s="499">
        <v>113416.76</v>
      </c>
      <c r="L131" s="499">
        <f t="shared" si="18"/>
        <v>90733</v>
      </c>
      <c r="M131" s="562">
        <f t="shared" si="19"/>
        <v>22683.759999999995</v>
      </c>
      <c r="N131" s="563">
        <v>0.8</v>
      </c>
      <c r="O131" s="572"/>
      <c r="P131" s="572"/>
      <c r="Q131" s="321"/>
      <c r="R131" s="321">
        <f t="shared" si="20"/>
        <v>90733</v>
      </c>
      <c r="S131" s="321"/>
      <c r="T131" s="321"/>
      <c r="U131" s="573"/>
      <c r="V131" s="553"/>
      <c r="W131" s="320"/>
      <c r="X131" s="320"/>
      <c r="Y131" s="156" t="b">
        <f t="shared" si="21"/>
        <v>1</v>
      </c>
      <c r="Z131" s="353">
        <f t="shared" si="22"/>
        <v>0.8</v>
      </c>
      <c r="AA131" s="156" t="b">
        <f t="shared" si="23"/>
        <v>1</v>
      </c>
      <c r="AB131" s="185" t="b">
        <f t="shared" si="17"/>
        <v>1</v>
      </c>
    </row>
    <row r="132" spans="1:28" s="157" customFormat="1" ht="45">
      <c r="A132" s="490">
        <v>130</v>
      </c>
      <c r="B132" s="327" t="s">
        <v>620</v>
      </c>
      <c r="C132" s="323" t="s">
        <v>314</v>
      </c>
      <c r="D132" s="327" t="s">
        <v>178</v>
      </c>
      <c r="E132" s="322">
        <v>1214033</v>
      </c>
      <c r="F132" s="328" t="s">
        <v>143</v>
      </c>
      <c r="G132" s="329" t="s">
        <v>727</v>
      </c>
      <c r="H132" s="330" t="s">
        <v>77</v>
      </c>
      <c r="I132" s="331">
        <v>0.15</v>
      </c>
      <c r="J132" s="508" t="s">
        <v>301</v>
      </c>
      <c r="K132" s="499">
        <v>210000</v>
      </c>
      <c r="L132" s="499">
        <f t="shared" si="18"/>
        <v>168000</v>
      </c>
      <c r="M132" s="562">
        <f t="shared" si="19"/>
        <v>42000</v>
      </c>
      <c r="N132" s="563">
        <v>0.8</v>
      </c>
      <c r="O132" s="572"/>
      <c r="P132" s="572"/>
      <c r="Q132" s="321"/>
      <c r="R132" s="321">
        <f t="shared" si="20"/>
        <v>168000</v>
      </c>
      <c r="S132" s="321"/>
      <c r="T132" s="321"/>
      <c r="U132" s="573"/>
      <c r="V132" s="553"/>
      <c r="W132" s="553"/>
      <c r="X132" s="553"/>
      <c r="Y132" s="156" t="b">
        <f t="shared" si="21"/>
        <v>1</v>
      </c>
      <c r="Z132" s="353">
        <f t="shared" si="22"/>
        <v>0.8</v>
      </c>
      <c r="AA132" s="156" t="b">
        <f t="shared" si="23"/>
        <v>1</v>
      </c>
      <c r="AB132" s="185" t="b">
        <f t="shared" si="17"/>
        <v>1</v>
      </c>
    </row>
    <row r="133" spans="1:28" s="157" customFormat="1" ht="60">
      <c r="A133" s="490">
        <v>131</v>
      </c>
      <c r="B133" s="327" t="s">
        <v>635</v>
      </c>
      <c r="C133" s="323" t="s">
        <v>314</v>
      </c>
      <c r="D133" s="327" t="s">
        <v>750</v>
      </c>
      <c r="E133" s="322">
        <v>1210042</v>
      </c>
      <c r="F133" s="328" t="s">
        <v>162</v>
      </c>
      <c r="G133" s="329" t="s">
        <v>961</v>
      </c>
      <c r="H133" s="330" t="s">
        <v>77</v>
      </c>
      <c r="I133" s="331">
        <v>0.5234</v>
      </c>
      <c r="J133" s="508" t="s">
        <v>307</v>
      </c>
      <c r="K133" s="499">
        <v>437114.76</v>
      </c>
      <c r="L133" s="499">
        <f t="shared" si="18"/>
        <v>305980</v>
      </c>
      <c r="M133" s="562">
        <f t="shared" si="19"/>
        <v>131134.76</v>
      </c>
      <c r="N133" s="563">
        <v>0.7</v>
      </c>
      <c r="O133" s="572"/>
      <c r="P133" s="572"/>
      <c r="Q133" s="321"/>
      <c r="R133" s="321">
        <f t="shared" si="20"/>
        <v>305980</v>
      </c>
      <c r="S133" s="321"/>
      <c r="T133" s="321"/>
      <c r="U133" s="573"/>
      <c r="V133" s="553"/>
      <c r="W133" s="553"/>
      <c r="X133" s="553"/>
      <c r="Y133" s="156" t="b">
        <f t="shared" si="21"/>
        <v>1</v>
      </c>
      <c r="Z133" s="353">
        <f t="shared" si="22"/>
        <v>0.7</v>
      </c>
      <c r="AA133" s="156" t="b">
        <f t="shared" si="23"/>
        <v>1</v>
      </c>
      <c r="AB133" s="185" t="b">
        <f t="shared" si="17"/>
        <v>1</v>
      </c>
    </row>
    <row r="134" spans="1:28" s="157" customFormat="1" ht="75">
      <c r="A134" s="490">
        <v>132</v>
      </c>
      <c r="B134" s="327" t="s">
        <v>639</v>
      </c>
      <c r="C134" s="323" t="s">
        <v>314</v>
      </c>
      <c r="D134" s="327" t="s">
        <v>146</v>
      </c>
      <c r="E134" s="322">
        <v>1218093</v>
      </c>
      <c r="F134" s="328" t="s">
        <v>147</v>
      </c>
      <c r="G134" s="329" t="s">
        <v>756</v>
      </c>
      <c r="H134" s="330" t="s">
        <v>77</v>
      </c>
      <c r="I134" s="331">
        <v>2.56</v>
      </c>
      <c r="J134" s="508" t="s">
        <v>757</v>
      </c>
      <c r="K134" s="499">
        <v>1129416.13</v>
      </c>
      <c r="L134" s="499">
        <f t="shared" si="18"/>
        <v>790591</v>
      </c>
      <c r="M134" s="562">
        <f t="shared" si="19"/>
        <v>338825.1299999999</v>
      </c>
      <c r="N134" s="563">
        <v>0.7</v>
      </c>
      <c r="O134" s="572"/>
      <c r="P134" s="572"/>
      <c r="Q134" s="321"/>
      <c r="R134" s="321">
        <f t="shared" si="20"/>
        <v>790591</v>
      </c>
      <c r="S134" s="321"/>
      <c r="T134" s="321"/>
      <c r="U134" s="573"/>
      <c r="V134" s="553"/>
      <c r="W134" s="553"/>
      <c r="X134" s="553"/>
      <c r="Y134" s="156" t="b">
        <f t="shared" si="21"/>
        <v>1</v>
      </c>
      <c r="Z134" s="353">
        <f t="shared" si="22"/>
        <v>0.7</v>
      </c>
      <c r="AA134" s="156" t="b">
        <f t="shared" si="23"/>
        <v>1</v>
      </c>
      <c r="AB134" s="185" t="b">
        <f t="shared" si="17"/>
        <v>1</v>
      </c>
    </row>
    <row r="135" spans="1:28" s="157" customFormat="1" ht="75">
      <c r="A135" s="490">
        <v>133</v>
      </c>
      <c r="B135" s="327" t="s">
        <v>641</v>
      </c>
      <c r="C135" s="323" t="s">
        <v>314</v>
      </c>
      <c r="D135" s="327" t="s">
        <v>761</v>
      </c>
      <c r="E135" s="322">
        <v>1206042</v>
      </c>
      <c r="F135" s="328" t="s">
        <v>130</v>
      </c>
      <c r="G135" s="329" t="s">
        <v>762</v>
      </c>
      <c r="H135" s="330" t="s">
        <v>77</v>
      </c>
      <c r="I135" s="331">
        <v>1.2969</v>
      </c>
      <c r="J135" s="508" t="s">
        <v>763</v>
      </c>
      <c r="K135" s="499">
        <v>815079.65</v>
      </c>
      <c r="L135" s="499">
        <f t="shared" si="18"/>
        <v>570555</v>
      </c>
      <c r="M135" s="562">
        <f t="shared" si="19"/>
        <v>244524.65000000002</v>
      </c>
      <c r="N135" s="563">
        <v>0.7</v>
      </c>
      <c r="O135" s="572"/>
      <c r="P135" s="572"/>
      <c r="Q135" s="321"/>
      <c r="R135" s="321">
        <f t="shared" si="20"/>
        <v>570555</v>
      </c>
      <c r="S135" s="321"/>
      <c r="T135" s="321"/>
      <c r="U135" s="573"/>
      <c r="V135" s="553"/>
      <c r="W135" s="553"/>
      <c r="X135" s="553"/>
      <c r="Y135" s="156" t="b">
        <f t="shared" si="21"/>
        <v>1</v>
      </c>
      <c r="Z135" s="353">
        <f t="shared" si="22"/>
        <v>0.7</v>
      </c>
      <c r="AA135" s="156" t="b">
        <f t="shared" si="23"/>
        <v>1</v>
      </c>
      <c r="AB135" s="185" t="b">
        <f t="shared" si="17"/>
        <v>1</v>
      </c>
    </row>
    <row r="136" spans="1:28" s="157" customFormat="1" ht="60">
      <c r="A136" s="490">
        <v>134</v>
      </c>
      <c r="B136" s="327" t="s">
        <v>645</v>
      </c>
      <c r="C136" s="323" t="s">
        <v>314</v>
      </c>
      <c r="D136" s="327" t="s">
        <v>761</v>
      </c>
      <c r="E136" s="322">
        <v>1206042</v>
      </c>
      <c r="F136" s="328" t="s">
        <v>130</v>
      </c>
      <c r="G136" s="329" t="s">
        <v>769</v>
      </c>
      <c r="H136" s="330" t="s">
        <v>77</v>
      </c>
      <c r="I136" s="331">
        <v>0.45</v>
      </c>
      <c r="J136" s="327" t="s">
        <v>763</v>
      </c>
      <c r="K136" s="499">
        <v>282817.37</v>
      </c>
      <c r="L136" s="499">
        <f t="shared" si="18"/>
        <v>197972</v>
      </c>
      <c r="M136" s="562">
        <f t="shared" si="19"/>
        <v>84845.37</v>
      </c>
      <c r="N136" s="563">
        <v>0.7</v>
      </c>
      <c r="O136" s="572"/>
      <c r="P136" s="572"/>
      <c r="Q136" s="321"/>
      <c r="R136" s="321">
        <f t="shared" si="20"/>
        <v>197972</v>
      </c>
      <c r="S136" s="321"/>
      <c r="T136" s="321"/>
      <c r="U136" s="573"/>
      <c r="V136" s="553"/>
      <c r="W136" s="553"/>
      <c r="X136" s="553"/>
      <c r="Y136" s="156" t="b">
        <f t="shared" si="21"/>
        <v>1</v>
      </c>
      <c r="Z136" s="353">
        <f t="shared" si="22"/>
        <v>0.7</v>
      </c>
      <c r="AA136" s="156" t="b">
        <f t="shared" si="23"/>
        <v>1</v>
      </c>
      <c r="AB136" s="185" t="b">
        <f>K136=L136+M136</f>
        <v>1</v>
      </c>
    </row>
    <row r="137" spans="1:28" s="179" customFormat="1" ht="60">
      <c r="A137" s="516" t="s">
        <v>992</v>
      </c>
      <c r="B137" s="327" t="s">
        <v>424</v>
      </c>
      <c r="C137" s="492" t="s">
        <v>314</v>
      </c>
      <c r="D137" s="327" t="s">
        <v>459</v>
      </c>
      <c r="E137" s="322">
        <v>1211142</v>
      </c>
      <c r="F137" s="328" t="s">
        <v>128</v>
      </c>
      <c r="G137" s="329" t="s">
        <v>506</v>
      </c>
      <c r="H137" s="330" t="s">
        <v>74</v>
      </c>
      <c r="I137" s="331">
        <v>0.8125</v>
      </c>
      <c r="J137" s="327" t="s">
        <v>308</v>
      </c>
      <c r="K137" s="497">
        <v>2087147.86</v>
      </c>
      <c r="L137" s="557">
        <v>812636.1599999999</v>
      </c>
      <c r="M137" s="558">
        <v>1274511.7000000002</v>
      </c>
      <c r="N137" s="559">
        <v>0.6</v>
      </c>
      <c r="O137" s="560"/>
      <c r="P137" s="560"/>
      <c r="Q137" s="560"/>
      <c r="R137" s="481">
        <v>812636.1599999999</v>
      </c>
      <c r="S137" s="481"/>
      <c r="T137" s="561"/>
      <c r="U137" s="553"/>
      <c r="V137" s="553"/>
      <c r="W137" s="553"/>
      <c r="X137" s="553"/>
      <c r="Y137" s="156" t="b">
        <f t="shared" si="13"/>
        <v>1</v>
      </c>
      <c r="Z137" s="353">
        <f t="shared" si="16"/>
        <v>0.3894</v>
      </c>
      <c r="AA137" s="368" t="b">
        <f>Z137=N137</f>
        <v>0</v>
      </c>
      <c r="AB137" s="185" t="b">
        <f>K137=L137+M137</f>
        <v>1</v>
      </c>
    </row>
    <row r="138" spans="1:28" s="298" customFormat="1" ht="14.25" customHeight="1">
      <c r="A138" s="418" t="s">
        <v>43</v>
      </c>
      <c r="B138" s="419"/>
      <c r="C138" s="419"/>
      <c r="D138" s="419"/>
      <c r="E138" s="419"/>
      <c r="F138" s="419"/>
      <c r="G138" s="419"/>
      <c r="H138" s="420"/>
      <c r="I138" s="289">
        <f>SUM(I3:I137)</f>
        <v>124.84407999999993</v>
      </c>
      <c r="J138" s="290" t="s">
        <v>14</v>
      </c>
      <c r="K138" s="278">
        <f>SUM(K3:K137)</f>
        <v>451594779.0299998</v>
      </c>
      <c r="L138" s="278">
        <f>SUM(L3:L137)</f>
        <v>263173134.16</v>
      </c>
      <c r="M138" s="291">
        <f>SUM(M3:M137)</f>
        <v>188421644.8699999</v>
      </c>
      <c r="N138" s="176" t="s">
        <v>14</v>
      </c>
      <c r="O138" s="292">
        <f aca="true" t="shared" si="24" ref="O138:X138">SUM(O3:O137)</f>
        <v>108718</v>
      </c>
      <c r="P138" s="293">
        <f t="shared" si="24"/>
        <v>4494460</v>
      </c>
      <c r="Q138" s="294">
        <f t="shared" si="24"/>
        <v>36883024</v>
      </c>
      <c r="R138" s="294">
        <f t="shared" si="24"/>
        <v>112734286.16</v>
      </c>
      <c r="S138" s="294">
        <f t="shared" si="24"/>
        <v>37188354</v>
      </c>
      <c r="T138" s="294">
        <f t="shared" si="24"/>
        <v>60734324</v>
      </c>
      <c r="U138" s="294">
        <f t="shared" si="24"/>
        <v>11029968</v>
      </c>
      <c r="V138" s="294">
        <f t="shared" si="24"/>
        <v>0</v>
      </c>
      <c r="W138" s="294">
        <f t="shared" si="24"/>
        <v>0</v>
      </c>
      <c r="X138" s="294">
        <f t="shared" si="24"/>
        <v>0</v>
      </c>
      <c r="Y138" s="295"/>
      <c r="Z138" s="296"/>
      <c r="AA138" s="295"/>
      <c r="AB138" s="297"/>
    </row>
    <row r="139" spans="1:28" s="380" customFormat="1" ht="14.25" customHeight="1">
      <c r="A139" s="423" t="s">
        <v>36</v>
      </c>
      <c r="B139" s="424"/>
      <c r="C139" s="424"/>
      <c r="D139" s="424"/>
      <c r="E139" s="424"/>
      <c r="F139" s="424"/>
      <c r="G139" s="424"/>
      <c r="H139" s="425"/>
      <c r="I139" s="299">
        <f>SUMIF($C$3:$C$137,"K",I3:I137)</f>
        <v>45.49380000000001</v>
      </c>
      <c r="J139" s="300" t="s">
        <v>14</v>
      </c>
      <c r="K139" s="285">
        <f>SUMIF($C$3:$C$137,"K",K3:K137)</f>
        <v>187134668.37999997</v>
      </c>
      <c r="L139" s="285">
        <f>SUMIF($C$3:$C$137,"K",L3:L137)</f>
        <v>113032184</v>
      </c>
      <c r="M139" s="373">
        <f>SUMIF($C$3:$C$137,"K",M3:M137)</f>
        <v>74102484.37999998</v>
      </c>
      <c r="N139" s="374" t="s">
        <v>14</v>
      </c>
      <c r="O139" s="375">
        <f aca="true" t="shared" si="25" ref="O139:X139">SUMIF($C$3:$C$137,"K",O3:O137)</f>
        <v>108718</v>
      </c>
      <c r="P139" s="285">
        <f t="shared" si="25"/>
        <v>4494460</v>
      </c>
      <c r="Q139" s="376">
        <f t="shared" si="25"/>
        <v>36883024</v>
      </c>
      <c r="R139" s="376">
        <f t="shared" si="25"/>
        <v>37267320</v>
      </c>
      <c r="S139" s="376">
        <f t="shared" si="25"/>
        <v>20366189</v>
      </c>
      <c r="T139" s="376">
        <f t="shared" si="25"/>
        <v>13912473</v>
      </c>
      <c r="U139" s="376">
        <f t="shared" si="25"/>
        <v>0</v>
      </c>
      <c r="V139" s="376">
        <f t="shared" si="25"/>
        <v>0</v>
      </c>
      <c r="W139" s="376">
        <f t="shared" si="25"/>
        <v>0</v>
      </c>
      <c r="X139" s="376">
        <f t="shared" si="25"/>
        <v>0</v>
      </c>
      <c r="Y139" s="377"/>
      <c r="Z139" s="378"/>
      <c r="AA139" s="377"/>
      <c r="AB139" s="379"/>
    </row>
    <row r="140" spans="1:28" s="298" customFormat="1" ht="14.25" customHeight="1">
      <c r="A140" s="418" t="s">
        <v>37</v>
      </c>
      <c r="B140" s="419"/>
      <c r="C140" s="419"/>
      <c r="D140" s="419"/>
      <c r="E140" s="419"/>
      <c r="F140" s="419"/>
      <c r="G140" s="419"/>
      <c r="H140" s="420"/>
      <c r="I140" s="289">
        <f>SUMIF($C$3:$C$137,"N",I3:I137)</f>
        <v>55.00437000000001</v>
      </c>
      <c r="J140" s="290" t="s">
        <v>14</v>
      </c>
      <c r="K140" s="278">
        <f>SUMIF($C$3:$C$137,"N",K3:K137)</f>
        <v>88048207.37000006</v>
      </c>
      <c r="L140" s="278">
        <f>SUMIF($C$3:$C$137,"N",L3:L137)</f>
        <v>54294088.16</v>
      </c>
      <c r="M140" s="291">
        <f>SUMIF($C$3:$C$137,"N",M3:M137)</f>
        <v>33754119.21000001</v>
      </c>
      <c r="N140" s="176" t="s">
        <v>14</v>
      </c>
      <c r="O140" s="292">
        <f aca="true" t="shared" si="26" ref="O140:X140">SUMIF($C$3:$C$137,"N",O3:O137)</f>
        <v>0</v>
      </c>
      <c r="P140" s="293">
        <f t="shared" si="26"/>
        <v>0</v>
      </c>
      <c r="Q140" s="294">
        <f t="shared" si="26"/>
        <v>0</v>
      </c>
      <c r="R140" s="294">
        <f t="shared" si="26"/>
        <v>54294088.16</v>
      </c>
      <c r="S140" s="294">
        <f t="shared" si="26"/>
        <v>0</v>
      </c>
      <c r="T140" s="294">
        <f t="shared" si="26"/>
        <v>0</v>
      </c>
      <c r="U140" s="294">
        <f t="shared" si="26"/>
        <v>0</v>
      </c>
      <c r="V140" s="294">
        <f t="shared" si="26"/>
        <v>0</v>
      </c>
      <c r="W140" s="294">
        <f t="shared" si="26"/>
        <v>0</v>
      </c>
      <c r="X140" s="294">
        <f t="shared" si="26"/>
        <v>0</v>
      </c>
      <c r="Y140" s="295"/>
      <c r="Z140" s="296"/>
      <c r="AA140" s="295"/>
      <c r="AB140" s="297"/>
    </row>
    <row r="141" spans="1:29" s="381" customFormat="1" ht="14.25" customHeight="1">
      <c r="A141" s="426" t="s">
        <v>38</v>
      </c>
      <c r="B141" s="427"/>
      <c r="C141" s="427"/>
      <c r="D141" s="427"/>
      <c r="E141" s="427"/>
      <c r="F141" s="427"/>
      <c r="G141" s="427"/>
      <c r="H141" s="428"/>
      <c r="I141" s="299">
        <f>SUMIF($C$3:$C$137,"W",I3:I137)</f>
        <v>24.34591</v>
      </c>
      <c r="J141" s="283" t="s">
        <v>14</v>
      </c>
      <c r="K141" s="285">
        <f>SUMIF($C$3:$C$137,"W",K3:K137)</f>
        <v>176411903.28</v>
      </c>
      <c r="L141" s="287">
        <f>SUMIF($C$3:$C$137,"W",L3:L137)</f>
        <v>95846862</v>
      </c>
      <c r="M141" s="301">
        <f>SUMIF($C$3:$C$137,"W",M3:M137)</f>
        <v>80565041.27999999</v>
      </c>
      <c r="N141" s="374" t="s">
        <v>14</v>
      </c>
      <c r="O141" s="302">
        <f aca="true" t="shared" si="27" ref="O141:X141">SUMIF($C$3:$C$137,"W",O3:O137)</f>
        <v>0</v>
      </c>
      <c r="P141" s="287">
        <f t="shared" si="27"/>
        <v>0</v>
      </c>
      <c r="Q141" s="288">
        <f t="shared" si="27"/>
        <v>0</v>
      </c>
      <c r="R141" s="376">
        <f t="shared" si="27"/>
        <v>21172878</v>
      </c>
      <c r="S141" s="288">
        <f t="shared" si="27"/>
        <v>16822165</v>
      </c>
      <c r="T141" s="288">
        <f t="shared" si="27"/>
        <v>46821851</v>
      </c>
      <c r="U141" s="288">
        <f t="shared" si="27"/>
        <v>11029968</v>
      </c>
      <c r="V141" s="288">
        <f t="shared" si="27"/>
        <v>0</v>
      </c>
      <c r="W141" s="288">
        <f t="shared" si="27"/>
        <v>0</v>
      </c>
      <c r="X141" s="288">
        <f t="shared" si="27"/>
        <v>0</v>
      </c>
      <c r="Y141" s="377"/>
      <c r="Z141" s="378"/>
      <c r="AA141" s="377"/>
      <c r="AB141" s="379"/>
      <c r="AC141" s="380"/>
    </row>
    <row r="142" spans="1:16" ht="15">
      <c r="A142" s="162"/>
      <c r="K142" s="177"/>
      <c r="P142" s="153"/>
    </row>
    <row r="143" spans="1:24" ht="12">
      <c r="A143" s="132" t="s">
        <v>24</v>
      </c>
      <c r="I143" s="264"/>
      <c r="J143" s="264"/>
      <c r="K143" s="264"/>
      <c r="L143" s="336"/>
      <c r="M143" s="337"/>
      <c r="N143" s="342"/>
      <c r="O143" s="337"/>
      <c r="P143" s="337"/>
      <c r="Q143" s="337"/>
      <c r="R143" s="336"/>
      <c r="S143" s="337"/>
      <c r="T143" s="264"/>
      <c r="U143" s="264"/>
      <c r="V143" s="264"/>
      <c r="W143" s="264"/>
      <c r="X143" s="264"/>
    </row>
    <row r="144" spans="1:24" ht="12">
      <c r="A144" s="135" t="s">
        <v>25</v>
      </c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</row>
    <row r="145" spans="1:19" ht="15">
      <c r="A145" s="132" t="s">
        <v>41</v>
      </c>
      <c r="K145" s="244"/>
      <c r="L145" s="213"/>
      <c r="M145" s="209"/>
      <c r="O145" s="151"/>
      <c r="P145" s="149"/>
      <c r="Q145" s="338"/>
      <c r="S145" s="339"/>
    </row>
    <row r="146" spans="1:19" ht="15">
      <c r="A146" s="137" t="s">
        <v>239</v>
      </c>
      <c r="K146" s="244"/>
      <c r="L146" s="213"/>
      <c r="M146" s="244"/>
      <c r="O146" s="151"/>
      <c r="P146" s="149"/>
      <c r="Q146" s="338"/>
      <c r="R146" s="263"/>
      <c r="S146" s="339"/>
    </row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</sheetData>
  <sheetProtection formatCells="0" formatColumns="0" formatRows="0"/>
  <protectedRanges>
    <protectedRange sqref="D13:F38" name="Rozstęp1_5_4_2"/>
    <protectedRange sqref="B4:B6" name="Rozstęp1_11_2_1_1"/>
    <protectedRange sqref="D4:D6" name="Rozstęp1_12_2_1_1"/>
    <protectedRange sqref="F4:F6" name="Rozstęp1_13_2_1_1"/>
    <protectedRange sqref="E4:E6" name="Rozstęp1_14_2_1_1"/>
    <protectedRange sqref="B7" name="Rozstęp1_11_6_1_1"/>
    <protectedRange sqref="D7" name="Rozstęp1_12_6_1_1"/>
    <protectedRange sqref="F7" name="Rozstęp1_13_6_1_1"/>
    <protectedRange sqref="E7" name="Rozstęp1_14_6_1_1"/>
    <protectedRange sqref="B8" name="Rozstęp1_11_7_1_1"/>
    <protectedRange sqref="D8" name="Rozstęp1_12_7_1_1"/>
    <protectedRange sqref="F8" name="Rozstęp1_13_7_1_1"/>
    <protectedRange sqref="E8" name="Rozstęp1_14_7_1_1"/>
    <protectedRange sqref="B9" name="Rozstęp1_11_9_1_1"/>
    <protectedRange sqref="D9" name="Rozstęp1_12_9_1_1"/>
    <protectedRange sqref="F9" name="Rozstęp1_13_9_1_1"/>
    <protectedRange sqref="E9" name="Rozstęp1_14_9_1_1"/>
    <protectedRange sqref="B10" name="Rozstęp1_11_11_1_1"/>
    <protectedRange sqref="D10" name="Rozstęp1_12_11_1_1"/>
    <protectedRange sqref="F10" name="Rozstęp1_13_11_1_1"/>
    <protectedRange sqref="E10" name="Rozstęp1_14_11_1_1"/>
    <protectedRange sqref="B11" name="Rozstęp1_11_12_1_1"/>
    <protectedRange sqref="D11" name="Rozstęp1_12_12_1_1"/>
    <protectedRange sqref="F11" name="Rozstęp1_13_12_1_1"/>
    <protectedRange sqref="E11" name="Rozstęp1_14_12_1_1"/>
    <protectedRange sqref="B12" name="Rozstęp1_11_14_1_1"/>
    <protectedRange sqref="D12" name="Rozstęp1_12_14_1_1"/>
    <protectedRange sqref="F12" name="Rozstęp1_13_14_1_1"/>
    <protectedRange sqref="E12" name="Rozstęp1_14_14_1_1"/>
    <protectedRange sqref="D39:F39" name="Rozstęp1_6_13_1_1"/>
    <protectedRange sqref="D42:F43" name="Rozstęp1_6_15_1_1"/>
    <protectedRange sqref="B40" name="Rozstęp1_2_1_1_1"/>
    <protectedRange sqref="D40:F40" name="Rozstęp1_5_2_3_1_1"/>
    <protectedRange sqref="B41" name="Rozstęp1_2_2_3_1_1"/>
    <protectedRange sqref="D41:F41" name="Rozstęp1_5_3_1_1"/>
    <protectedRange sqref="D44:F46" name="Rozstęp1_6_1"/>
    <protectedRange sqref="G3" name="Rozstęp1_30_1_1_2"/>
    <protectedRange sqref="G4:J6" name="Rozstęp1_15_1_1_1_2"/>
    <protectedRange sqref="G7:J7" name="Rozstęp1_15_7_1_1_2"/>
    <protectedRange sqref="G8:J8" name="Rozstęp1_15_8_1_1_2"/>
    <protectedRange sqref="G9:I9" name="Rozstęp1_15_10_1_1_2"/>
    <protectedRange sqref="G10:I10" name="Rozstęp1_15_12_1_1_2"/>
    <protectedRange sqref="G11:J11" name="Rozstęp1_15_13_1_1_2"/>
    <protectedRange sqref="G12:J12" name="Rozstęp1_15_15_1_1_2"/>
    <protectedRange sqref="G32" name="Rozstęp1_4_1_1_2"/>
    <protectedRange sqref="G20" name="Rozstęp1_22_1_1_2"/>
    <protectedRange sqref="J35" name="Rozstęp1_25_1_1_1"/>
    <protectedRange sqref="J33" name="Rozstęp1_26_1_1_1"/>
    <protectedRange sqref="J28" name="Rozstęp1_11_1_1"/>
    <protectedRange sqref="J10" name="Rozstęp1_15_2_1_1_1"/>
    <protectedRange sqref="G39:J39" name="Rozstęp1_6_13_1_1_2"/>
    <protectedRange sqref="G42:J43" name="Rozstęp1_6_15_1_1_2"/>
    <protectedRange sqref="G40:I40" name="Rozstęp1_5_2_3_1_1_2"/>
    <protectedRange sqref="G41:J41" name="Rozstęp1_5_3_1_1_2"/>
    <protectedRange sqref="G44:J46" name="Rozstęp1_6_1_2"/>
    <protectedRange sqref="J40" name="Rozstęp1_5_2_3_1"/>
    <protectedRange sqref="G15:J15" name="Rozstęp1_5_4_1"/>
    <protectedRange sqref="J13" name="Rozstęp1_5_1_1"/>
    <protectedRange sqref="J37" name="Rozstęp1_5_1_1_2"/>
    <protectedRange sqref="J19" name="Rozstęp1_5_4_2_2_2"/>
    <protectedRange sqref="J25" name="Rozstęp1_5_4_2_2_3"/>
    <protectedRange sqref="D47:J47" name="Rozstęp1_6_3"/>
    <protectedRange sqref="J38 J24" name="Rozstęp1_5_1_2"/>
    <protectedRange sqref="D48:I48" name="Rozstęp1_6_4"/>
    <protectedRange sqref="J29" name="Rozstęp1_5_1_3"/>
    <protectedRange sqref="J31" name="Rozstęp1_5_1_3_1"/>
    <protectedRange sqref="J48" name="Rozstęp1_6_4_2"/>
    <protectedRange sqref="B49:B78 B90:B102 B80:B88" name="Rozstęp1_1_4"/>
    <protectedRange sqref="D74:F78 F80 D80 D90:D91 F90:F91 D81:F88 D92:F102" name="Rozstęp1_3"/>
    <protectedRange sqref="E90:E91 E80" name="Rozstęp9_1"/>
    <protectedRange sqref="D49:F73" name="Rozstęp1_1_5"/>
    <protectedRange sqref="G74:J78 G90:J96 G98:J102 G97:I97 G80:J88" name="Rozstęp1_5"/>
    <protectedRange sqref="G49:J61 G72:J73 G71:I71 G63:J70 G62:I62" name="Rozstęp1_1_6"/>
    <protectedRange sqref="B89" name="Rozstęp1_1_7"/>
    <protectedRange sqref="D89:G89" name="Rozstęp1_1_8"/>
    <protectedRange sqref="H89:J89" name="Rozstęp1_1_9"/>
    <protectedRange sqref="D103:J103" name="Rozstęp1"/>
    <protectedRange sqref="B103" name="Rozstęp1_1_3"/>
    <protectedRange sqref="D104:I104" name="Rozstęp1_1"/>
    <protectedRange sqref="B104" name="Rozstęp1_1_5_1"/>
    <protectedRange sqref="D106:J106" name="Rozstęp1_2"/>
    <protectedRange sqref="B106" name="Rozstęp1_1_5_2"/>
    <protectedRange sqref="D107:J107" name="Rozstęp1_4"/>
    <protectedRange sqref="B107" name="Rozstęp1_1_5_3"/>
    <protectedRange sqref="D108:J108" name="Rozstęp1_6"/>
    <protectedRange sqref="B108" name="Rozstęp1_1_5_4"/>
    <protectedRange sqref="D109:J109" name="Rozstęp1_7"/>
    <protectedRange sqref="B109" name="Rozstęp1_1_5_5"/>
    <protectedRange sqref="D110:J111" name="Rozstęp1_8"/>
    <protectedRange sqref="B110:B111" name="Rozstęp1_1_5_6"/>
    <protectedRange sqref="D112:J112" name="Rozstęp1_9"/>
    <protectedRange sqref="B112" name="Rozstęp1_1_5_7"/>
    <protectedRange sqref="D113:J113" name="Rozstęp1_10"/>
    <protectedRange sqref="B113" name="Rozstęp1_1_5_8"/>
    <protectedRange sqref="D114:J114" name="Rozstęp1_11"/>
    <protectedRange sqref="B114" name="Rozstęp1_1_5_9"/>
    <protectedRange sqref="D115:I115" name="Rozstęp1_12"/>
    <protectedRange sqref="B115" name="Rozstęp1_1_5_10"/>
    <protectedRange sqref="D116:J116" name="Rozstęp1_13"/>
    <protectedRange sqref="B116" name="Rozstęp1_1_5_11"/>
    <protectedRange sqref="D117:J118" name="Rozstęp1_14"/>
    <protectedRange sqref="B117:B118" name="Rozstęp1_1_5_12"/>
    <protectedRange sqref="D119:J119" name="Rozstęp1_16"/>
    <protectedRange sqref="B119" name="Rozstęp1_1_5_14"/>
    <protectedRange sqref="D105:J105" name="Rozstęp1_15"/>
    <protectedRange sqref="B105" name="Rozstęp1_1_5_13"/>
    <protectedRange sqref="J71" name="Rozstęp1_18"/>
    <protectedRange sqref="J97" name="Rozstęp1_17"/>
    <protectedRange sqref="D79:J79" name="Rozstęp1_19"/>
    <protectedRange sqref="B79" name="Rozstęp1_1_5_15"/>
    <protectedRange sqref="D120:J120" name="Rozstęp1_20"/>
    <protectedRange sqref="B120" name="Rozstęp1_1_5_16"/>
    <protectedRange sqref="D121:J121" name="Rozstęp1_21"/>
    <protectedRange sqref="B121" name="Rozstęp1_1_5_17"/>
    <protectedRange sqref="B122" name="Rozstęp1_1_4_1"/>
    <protectedRange sqref="D122:F122" name="Rozstęp1_1_5_1_1"/>
    <protectedRange sqref="G122:J122" name="Rozstęp1_1_6_1"/>
    <protectedRange sqref="B123" name="Rozstęp1_1_4_2"/>
    <protectedRange sqref="D123:F123" name="Rozstęp1_1_5_2_1"/>
    <protectedRange sqref="G123:J123" name="Rozstęp1_1_6_1_1"/>
    <protectedRange sqref="B124" name="Rozstęp1_1_4_4"/>
    <protectedRange sqref="D124:F124" name="Rozstęp1_1_5_4_1"/>
    <protectedRange sqref="J124" name="Rozstęp1_5_1"/>
    <protectedRange sqref="G124:I124" name="Rozstęp1_1_6_3"/>
    <protectedRange sqref="B125" name="Rozstęp1_1_4_5"/>
    <protectedRange sqref="D125:F125" name="Rozstęp1_3_1"/>
    <protectedRange sqref="G125:J125" name="Rozstęp1_5_2"/>
    <protectedRange sqref="B137" name="Rozstęp1_1_4_6"/>
    <protectedRange sqref="D137:F137" name="Rozstęp1_3_1_1"/>
    <protectedRange sqref="G137:J137" name="Rozstęp1_5_3"/>
    <protectedRange sqref="J62" name="Rozstęp1_1_6_2"/>
    <protectedRange sqref="J104" name="Rozstęp1_1_1"/>
    <protectedRange sqref="J115" name="Rozstęp1_12_1"/>
    <protectedRange sqref="J9" name="Rozstęp1_15_10_1_1_2_1"/>
    <protectedRange sqref="D126:J126" name="Rozstęp1_22"/>
    <protectedRange sqref="B126" name="Rozstęp1_1_5_18"/>
    <protectedRange sqref="D127:J127" name="Rozstęp1_23"/>
    <protectedRange sqref="B127" name="Rozstęp1_1_5_19"/>
    <protectedRange sqref="D128:J128" name="Rozstęp1_24"/>
    <protectedRange sqref="B128" name="Rozstęp1_1_3_1"/>
    <protectedRange sqref="D129:J129" name="Rozstęp1_25"/>
    <protectedRange sqref="B129" name="Rozstęp1_1_3_2"/>
    <protectedRange sqref="D130:J130" name="Rozstęp1_26"/>
    <protectedRange sqref="B130" name="Rozstęp1_1_5_20"/>
    <protectedRange sqref="D131:J131" name="Rozstęp1_17_1"/>
    <protectedRange sqref="B131" name="Rozstęp1_1_5_15_1"/>
    <protectedRange sqref="D132:J132" name="Rozstęp1_27"/>
    <protectedRange sqref="B132" name="Rozstęp1_1_5_21"/>
    <protectedRange sqref="D133:J133" name="Rozstęp1_28"/>
    <protectedRange sqref="B133" name="Rozstęp1_1_5_22"/>
    <protectedRange sqref="D134:J134" name="Rozstęp1_29"/>
    <protectedRange sqref="B134" name="Rozstęp1_1_5_23"/>
    <protectedRange sqref="D135:J135" name="Rozstęp1_30"/>
    <protectedRange sqref="B135" name="Rozstęp1_1_5_24"/>
    <protectedRange sqref="D136:J136" name="Rozstęp1_31"/>
    <protectedRange sqref="B136" name="Rozstęp1_1_5_25"/>
  </protectedRanges>
  <mergeCells count="19">
    <mergeCell ref="A139:H139"/>
    <mergeCell ref="A140:H140"/>
    <mergeCell ref="A141:H141"/>
    <mergeCell ref="M1:M2"/>
    <mergeCell ref="N1:N2"/>
    <mergeCell ref="O1:X1"/>
    <mergeCell ref="G1:G2"/>
    <mergeCell ref="H1:H2"/>
    <mergeCell ref="I1:I2"/>
    <mergeCell ref="J1:J2"/>
    <mergeCell ref="A138:H138"/>
    <mergeCell ref="K1:K2"/>
    <mergeCell ref="L1:L2"/>
    <mergeCell ref="A1:A2"/>
    <mergeCell ref="B1:B2"/>
    <mergeCell ref="C1:C2"/>
    <mergeCell ref="F1:F2"/>
    <mergeCell ref="D1:D2"/>
    <mergeCell ref="E1:E2"/>
  </mergeCells>
  <conditionalFormatting sqref="Y3:AB39">
    <cfRule type="cellIs" priority="107" dxfId="110" operator="equal">
      <formula>FALSE</formula>
    </cfRule>
  </conditionalFormatting>
  <conditionalFormatting sqref="Y3:AA39">
    <cfRule type="containsText" priority="106" dxfId="110" operator="containsText" text="fałsz">
      <formula>NOT(ISERROR(SEARCH("fałsz",Y3)))</formula>
    </cfRule>
  </conditionalFormatting>
  <conditionalFormatting sqref="Y41:AA41">
    <cfRule type="containsText" priority="58" dxfId="110" operator="containsText" text="fałsz">
      <formula>NOT(ISERROR(SEARCH("fałsz",Y41)))</formula>
    </cfRule>
  </conditionalFormatting>
  <conditionalFormatting sqref="Y40:AB40">
    <cfRule type="cellIs" priority="61" dxfId="110" operator="equal">
      <formula>FALSE</formula>
    </cfRule>
  </conditionalFormatting>
  <conditionalFormatting sqref="Y40:AA40">
    <cfRule type="containsText" priority="60" dxfId="110" operator="containsText" text="fałsz">
      <formula>NOT(ISERROR(SEARCH("fałsz",Y40)))</formula>
    </cfRule>
  </conditionalFormatting>
  <conditionalFormatting sqref="Y41:AB41">
    <cfRule type="cellIs" priority="59" dxfId="110" operator="equal">
      <formula>FALSE</formula>
    </cfRule>
  </conditionalFormatting>
  <conditionalFormatting sqref="I63">
    <cfRule type="cellIs" priority="46" dxfId="111" operator="equal" stopIfTrue="1">
      <formula>5.645</formula>
    </cfRule>
  </conditionalFormatting>
  <conditionalFormatting sqref="N49:N78 N80:N99">
    <cfRule type="cellIs" priority="41" dxfId="4" operator="equal" stopIfTrue="1">
      <formula>55</formula>
    </cfRule>
    <cfRule type="cellIs" priority="42" dxfId="3" operator="equal" stopIfTrue="1">
      <formula>60</formula>
    </cfRule>
    <cfRule type="cellIs" priority="43" dxfId="2" operator="equal" stopIfTrue="1">
      <formula>65</formula>
    </cfRule>
    <cfRule type="cellIs" priority="44" dxfId="1" operator="equal" stopIfTrue="1">
      <formula>70</formula>
    </cfRule>
    <cfRule type="cellIs" priority="45" dxfId="0" operator="equal" stopIfTrue="1">
      <formula>75</formula>
    </cfRule>
  </conditionalFormatting>
  <conditionalFormatting sqref="N101">
    <cfRule type="cellIs" priority="36" dxfId="4" operator="equal" stopIfTrue="1">
      <formula>55</formula>
    </cfRule>
    <cfRule type="cellIs" priority="37" dxfId="3" operator="equal" stopIfTrue="1">
      <formula>60</formula>
    </cfRule>
    <cfRule type="cellIs" priority="38" dxfId="2" operator="equal" stopIfTrue="1">
      <formula>65</formula>
    </cfRule>
    <cfRule type="cellIs" priority="39" dxfId="1" operator="equal" stopIfTrue="1">
      <formula>70</formula>
    </cfRule>
    <cfRule type="cellIs" priority="40" dxfId="0" operator="equal" stopIfTrue="1">
      <formula>75</formula>
    </cfRule>
  </conditionalFormatting>
  <conditionalFormatting sqref="N100">
    <cfRule type="cellIs" priority="31" dxfId="4" operator="equal" stopIfTrue="1">
      <formula>55</formula>
    </cfRule>
    <cfRule type="cellIs" priority="32" dxfId="3" operator="equal" stopIfTrue="1">
      <formula>60</formula>
    </cfRule>
    <cfRule type="cellIs" priority="33" dxfId="2" operator="equal" stopIfTrue="1">
      <formula>65</formula>
    </cfRule>
    <cfRule type="cellIs" priority="34" dxfId="1" operator="equal" stopIfTrue="1">
      <formula>70</formula>
    </cfRule>
    <cfRule type="cellIs" priority="35" dxfId="0" operator="equal" stopIfTrue="1">
      <formula>75</formula>
    </cfRule>
  </conditionalFormatting>
  <conditionalFormatting sqref="N102">
    <cfRule type="cellIs" priority="26" dxfId="4" operator="equal" stopIfTrue="1">
      <formula>55</formula>
    </cfRule>
    <cfRule type="cellIs" priority="27" dxfId="3" operator="equal" stopIfTrue="1">
      <formula>60</formula>
    </cfRule>
    <cfRule type="cellIs" priority="28" dxfId="2" operator="equal" stopIfTrue="1">
      <formula>65</formula>
    </cfRule>
    <cfRule type="cellIs" priority="29" dxfId="1" operator="equal" stopIfTrue="1">
      <formula>70</formula>
    </cfRule>
    <cfRule type="cellIs" priority="30" dxfId="0" operator="equal" stopIfTrue="1">
      <formula>75</formula>
    </cfRule>
  </conditionalFormatting>
  <conditionalFormatting sqref="N122">
    <cfRule type="cellIs" priority="21" dxfId="4" operator="equal" stopIfTrue="1">
      <formula>55</formula>
    </cfRule>
    <cfRule type="cellIs" priority="22" dxfId="3" operator="equal" stopIfTrue="1">
      <formula>60</formula>
    </cfRule>
    <cfRule type="cellIs" priority="23" dxfId="2" operator="equal" stopIfTrue="1">
      <formula>65</formula>
    </cfRule>
    <cfRule type="cellIs" priority="24" dxfId="1" operator="equal" stopIfTrue="1">
      <formula>70</formula>
    </cfRule>
    <cfRule type="cellIs" priority="25" dxfId="0" operator="equal" stopIfTrue="1">
      <formula>75</formula>
    </cfRule>
  </conditionalFormatting>
  <conditionalFormatting sqref="N123">
    <cfRule type="cellIs" priority="16" dxfId="4" operator="equal" stopIfTrue="1">
      <formula>55</formula>
    </cfRule>
    <cfRule type="cellIs" priority="17" dxfId="3" operator="equal" stopIfTrue="1">
      <formula>60</formula>
    </cfRule>
    <cfRule type="cellIs" priority="18" dxfId="2" operator="equal" stopIfTrue="1">
      <formula>65</formula>
    </cfRule>
    <cfRule type="cellIs" priority="19" dxfId="1" operator="equal" stopIfTrue="1">
      <formula>70</formula>
    </cfRule>
    <cfRule type="cellIs" priority="20" dxfId="0" operator="equal" stopIfTrue="1">
      <formula>75</formula>
    </cfRule>
  </conditionalFormatting>
  <conditionalFormatting sqref="N124">
    <cfRule type="cellIs" priority="11" dxfId="4" operator="equal" stopIfTrue="1">
      <formula>55</formula>
    </cfRule>
    <cfRule type="cellIs" priority="12" dxfId="3" operator="equal" stopIfTrue="1">
      <formula>60</formula>
    </cfRule>
    <cfRule type="cellIs" priority="13" dxfId="2" operator="equal" stopIfTrue="1">
      <formula>65</formula>
    </cfRule>
    <cfRule type="cellIs" priority="14" dxfId="1" operator="equal" stopIfTrue="1">
      <formula>70</formula>
    </cfRule>
    <cfRule type="cellIs" priority="15" dxfId="0" operator="equal" stopIfTrue="1">
      <formula>75</formula>
    </cfRule>
  </conditionalFormatting>
  <conditionalFormatting sqref="N125">
    <cfRule type="cellIs" priority="6" dxfId="4" operator="equal" stopIfTrue="1">
      <formula>55</formula>
    </cfRule>
    <cfRule type="cellIs" priority="7" dxfId="3" operator="equal" stopIfTrue="1">
      <formula>60</formula>
    </cfRule>
    <cfRule type="cellIs" priority="8" dxfId="2" operator="equal" stopIfTrue="1">
      <formula>65</formula>
    </cfRule>
    <cfRule type="cellIs" priority="9" dxfId="1" operator="equal" stopIfTrue="1">
      <formula>70</formula>
    </cfRule>
    <cfRule type="cellIs" priority="10" dxfId="0" operator="equal" stopIfTrue="1">
      <formula>75</formula>
    </cfRule>
  </conditionalFormatting>
  <conditionalFormatting sqref="N137">
    <cfRule type="cellIs" priority="1" dxfId="4" operator="equal" stopIfTrue="1">
      <formula>55</formula>
    </cfRule>
    <cfRule type="cellIs" priority="2" dxfId="3" operator="equal" stopIfTrue="1">
      <formula>60</formula>
    </cfRule>
    <cfRule type="cellIs" priority="3" dxfId="2" operator="equal" stopIfTrue="1">
      <formula>65</formula>
    </cfRule>
    <cfRule type="cellIs" priority="4" dxfId="1" operator="equal" stopIfTrue="1">
      <formula>70</formula>
    </cfRule>
    <cfRule type="cellIs" priority="5" dxfId="0" operator="equal" stopIfTrue="1">
      <formula>75</formula>
    </cfRule>
  </conditionalFormatting>
  <dataValidations count="3">
    <dataValidation type="list" allowBlank="1" showInputMessage="1" showErrorMessage="1" sqref="H40:H41 H3:H38">
      <formula1>"B,P,R"</formula1>
    </dataValidation>
    <dataValidation type="list" allowBlank="1" showInputMessage="1" showErrorMessage="1" sqref="C3:C48">
      <formula1>"N,K,W"</formula1>
    </dataValidation>
    <dataValidation type="list" allowBlank="1" showInputMessage="1" showErrorMessage="1" sqref="C107:C113 C49:C78 C80:C102 C121:C125 C127 C133:C137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0" r:id="rId1"/>
  <headerFooter>
    <oddHeader>&amp;LWojewództwo Małopolskie - zadania gminne lista podstawowa</oddHeader>
    <oddFooter>&amp;CStrona &amp;P z &amp;N</oddFooter>
  </headerFooter>
  <ignoredErrors>
    <ignoredError sqref="E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view="pageBreakPreview" zoomScale="85" zoomScaleNormal="80" zoomScaleSheetLayoutView="85" workbookViewId="0" topLeftCell="A1">
      <selection activeCell="A1" sqref="A1:A2"/>
    </sheetView>
  </sheetViews>
  <sheetFormatPr defaultColWidth="9.140625" defaultRowHeight="15"/>
  <cols>
    <col min="1" max="1" width="4.7109375" style="214" customWidth="1"/>
    <col min="2" max="2" width="9.140625" style="214" customWidth="1"/>
    <col min="3" max="3" width="8.421875" style="214" customWidth="1"/>
    <col min="4" max="4" width="17.28125" style="214" customWidth="1"/>
    <col min="5" max="5" width="10.140625" style="214" customWidth="1"/>
    <col min="6" max="6" width="44.28125" style="214" customWidth="1"/>
    <col min="7" max="7" width="6.57421875" style="224" customWidth="1"/>
    <col min="8" max="8" width="7.7109375" style="214" customWidth="1"/>
    <col min="9" max="9" width="12.7109375" style="224" customWidth="1"/>
    <col min="10" max="10" width="15.57421875" style="225" customWidth="1"/>
    <col min="11" max="12" width="17.140625" style="226" customWidth="1"/>
    <col min="13" max="13" width="6.57421875" style="123" customWidth="1"/>
    <col min="14" max="14" width="10.00390625" style="214" customWidth="1"/>
    <col min="15" max="15" width="10.7109375" style="214" customWidth="1"/>
    <col min="16" max="16" width="15.00390625" style="214" customWidth="1"/>
    <col min="17" max="17" width="15.7109375" style="214" customWidth="1"/>
    <col min="18" max="18" width="14.8515625" style="214" customWidth="1"/>
    <col min="19" max="19" width="19.57421875" style="214" customWidth="1"/>
    <col min="20" max="20" width="19.28125" style="214" customWidth="1"/>
    <col min="21" max="21" width="7.8515625" style="214" customWidth="1"/>
    <col min="22" max="22" width="5.140625" style="214" customWidth="1"/>
    <col min="23" max="23" width="5.57421875" style="214" customWidth="1"/>
    <col min="24" max="24" width="11.140625" style="365" customWidth="1"/>
    <col min="25" max="25" width="7.8515625" style="365" customWidth="1"/>
    <col min="26" max="27" width="11.7109375" style="365" customWidth="1"/>
    <col min="28" max="16384" width="9.140625" style="214" customWidth="1"/>
  </cols>
  <sheetData>
    <row r="1" spans="1:23" ht="19.5" customHeight="1">
      <c r="A1" s="434" t="s">
        <v>4</v>
      </c>
      <c r="B1" s="434" t="s">
        <v>5</v>
      </c>
      <c r="C1" s="435" t="s">
        <v>44</v>
      </c>
      <c r="D1" s="421" t="s">
        <v>6</v>
      </c>
      <c r="E1" s="435" t="s">
        <v>32</v>
      </c>
      <c r="F1" s="421" t="s">
        <v>7</v>
      </c>
      <c r="G1" s="413" t="s">
        <v>26</v>
      </c>
      <c r="H1" s="434" t="s">
        <v>8</v>
      </c>
      <c r="I1" s="413" t="s">
        <v>23</v>
      </c>
      <c r="J1" s="413" t="s">
        <v>9</v>
      </c>
      <c r="K1" s="413" t="s">
        <v>10</v>
      </c>
      <c r="L1" s="406" t="s">
        <v>13</v>
      </c>
      <c r="M1" s="434" t="s">
        <v>11</v>
      </c>
      <c r="N1" s="434" t="s">
        <v>12</v>
      </c>
      <c r="O1" s="434"/>
      <c r="P1" s="434"/>
      <c r="Q1" s="434"/>
      <c r="R1" s="434"/>
      <c r="S1" s="434"/>
      <c r="T1" s="434"/>
      <c r="U1" s="434"/>
      <c r="V1" s="434"/>
      <c r="W1" s="434"/>
    </row>
    <row r="2" spans="1:27" ht="33" customHeight="1">
      <c r="A2" s="434"/>
      <c r="B2" s="434"/>
      <c r="C2" s="436"/>
      <c r="D2" s="422"/>
      <c r="E2" s="436"/>
      <c r="F2" s="422"/>
      <c r="G2" s="413"/>
      <c r="H2" s="434"/>
      <c r="I2" s="413"/>
      <c r="J2" s="413"/>
      <c r="K2" s="413"/>
      <c r="L2" s="407"/>
      <c r="M2" s="434"/>
      <c r="N2" s="194">
        <v>2019</v>
      </c>
      <c r="O2" s="194">
        <v>2020</v>
      </c>
      <c r="P2" s="194">
        <v>2021</v>
      </c>
      <c r="Q2" s="194">
        <v>2022</v>
      </c>
      <c r="R2" s="194">
        <v>2023</v>
      </c>
      <c r="S2" s="194">
        <v>2024</v>
      </c>
      <c r="T2" s="194">
        <v>2025</v>
      </c>
      <c r="U2" s="194">
        <v>2026</v>
      </c>
      <c r="V2" s="194">
        <v>2027</v>
      </c>
      <c r="W2" s="194">
        <v>2028</v>
      </c>
      <c r="X2" s="362" t="s">
        <v>28</v>
      </c>
      <c r="Y2" s="362" t="s">
        <v>29</v>
      </c>
      <c r="Z2" s="362" t="s">
        <v>30</v>
      </c>
      <c r="AA2" s="366" t="s">
        <v>31</v>
      </c>
    </row>
    <row r="3" spans="1:27" s="216" customFormat="1" ht="75">
      <c r="A3" s="453">
        <v>1</v>
      </c>
      <c r="B3" s="369" t="s">
        <v>343</v>
      </c>
      <c r="C3" s="455" t="s">
        <v>313</v>
      </c>
      <c r="D3" s="477" t="s">
        <v>88</v>
      </c>
      <c r="E3" s="486">
        <v>1216</v>
      </c>
      <c r="F3" s="487" t="s">
        <v>358</v>
      </c>
      <c r="G3" s="501" t="s">
        <v>77</v>
      </c>
      <c r="H3" s="502">
        <v>6.704</v>
      </c>
      <c r="I3" s="477" t="s">
        <v>359</v>
      </c>
      <c r="J3" s="460">
        <v>6449783.88</v>
      </c>
      <c r="K3" s="460">
        <f>INT(J3*M3)</f>
        <v>3869870</v>
      </c>
      <c r="L3" s="460">
        <f>J3-K3</f>
        <v>2579913.88</v>
      </c>
      <c r="M3" s="468">
        <v>0.6</v>
      </c>
      <c r="N3" s="478"/>
      <c r="O3" s="478"/>
      <c r="P3" s="470"/>
      <c r="Q3" s="470">
        <v>2257425</v>
      </c>
      <c r="R3" s="470">
        <v>1612445</v>
      </c>
      <c r="S3" s="484"/>
      <c r="T3" s="471"/>
      <c r="U3" s="480"/>
      <c r="V3" s="480"/>
      <c r="W3" s="480"/>
      <c r="X3" s="164" t="b">
        <f>K3=SUM(N3:W3)</f>
        <v>1</v>
      </c>
      <c r="Y3" s="165">
        <f>ROUND(K3/J3,4)</f>
        <v>0.6</v>
      </c>
      <c r="Z3" s="166" t="b">
        <f>Y3=M3</f>
        <v>1</v>
      </c>
      <c r="AA3" s="166" t="b">
        <f>J3=K3+L3</f>
        <v>1</v>
      </c>
    </row>
    <row r="4" spans="1:27" s="216" customFormat="1" ht="90">
      <c r="A4" s="512">
        <v>2</v>
      </c>
      <c r="B4" s="467" t="s">
        <v>916</v>
      </c>
      <c r="C4" s="455" t="s">
        <v>313</v>
      </c>
      <c r="D4" s="467" t="s">
        <v>64</v>
      </c>
      <c r="E4" s="486">
        <v>1210</v>
      </c>
      <c r="F4" s="487" t="s">
        <v>923</v>
      </c>
      <c r="G4" s="488" t="s">
        <v>74</v>
      </c>
      <c r="H4" s="489">
        <v>5.547</v>
      </c>
      <c r="I4" s="467" t="s">
        <v>955</v>
      </c>
      <c r="J4" s="513">
        <v>23772981.32</v>
      </c>
      <c r="K4" s="513">
        <v>11886490</v>
      </c>
      <c r="L4" s="513">
        <v>11886491.32</v>
      </c>
      <c r="M4" s="468">
        <v>0.5</v>
      </c>
      <c r="N4" s="514"/>
      <c r="O4" s="514"/>
      <c r="P4" s="515"/>
      <c r="Q4" s="515">
        <v>2000000</v>
      </c>
      <c r="R4" s="515">
        <v>2200000</v>
      </c>
      <c r="S4" s="515">
        <v>2000000</v>
      </c>
      <c r="T4" s="515">
        <v>5686490</v>
      </c>
      <c r="U4" s="480"/>
      <c r="V4" s="480"/>
      <c r="W4" s="480"/>
      <c r="X4" s="164" t="b">
        <f>K4=SUM(N4:W4)</f>
        <v>1</v>
      </c>
      <c r="Y4" s="165">
        <f>ROUND(K4/J4,4)</f>
        <v>0.5</v>
      </c>
      <c r="Z4" s="166" t="b">
        <f>Y4=M4</f>
        <v>1</v>
      </c>
      <c r="AA4" s="166" t="b">
        <f>J4=K4+L4</f>
        <v>1</v>
      </c>
    </row>
    <row r="5" spans="1:27" s="216" customFormat="1" ht="60">
      <c r="A5" s="512">
        <v>3</v>
      </c>
      <c r="B5" s="369" t="s">
        <v>890</v>
      </c>
      <c r="C5" s="455" t="s">
        <v>313</v>
      </c>
      <c r="D5" s="477" t="s">
        <v>379</v>
      </c>
      <c r="E5" s="486">
        <v>1208</v>
      </c>
      <c r="F5" s="487" t="s">
        <v>908</v>
      </c>
      <c r="G5" s="501" t="s">
        <v>74</v>
      </c>
      <c r="H5" s="502">
        <v>6.55298</v>
      </c>
      <c r="I5" s="369" t="s">
        <v>977</v>
      </c>
      <c r="J5" s="513">
        <v>24589834.75</v>
      </c>
      <c r="K5" s="513">
        <v>12294917</v>
      </c>
      <c r="L5" s="513">
        <v>12294917.75</v>
      </c>
      <c r="M5" s="468">
        <v>0.5</v>
      </c>
      <c r="N5" s="514"/>
      <c r="O5" s="514"/>
      <c r="P5" s="515"/>
      <c r="Q5" s="515">
        <v>5429207</v>
      </c>
      <c r="R5" s="515">
        <v>6865710</v>
      </c>
      <c r="S5" s="515"/>
      <c r="T5" s="480"/>
      <c r="U5" s="480"/>
      <c r="V5" s="480"/>
      <c r="W5" s="480"/>
      <c r="X5" s="164" t="b">
        <f aca="true" t="shared" si="0" ref="X5:X19">K5=SUM(N5:W5)</f>
        <v>1</v>
      </c>
      <c r="Y5" s="165">
        <f aca="true" t="shared" si="1" ref="Y5:Y19">ROUND(K5/J5,4)</f>
        <v>0.5</v>
      </c>
      <c r="Z5" s="166" t="b">
        <f aca="true" t="shared" si="2" ref="Z5:Z19">Y5=M5</f>
        <v>1</v>
      </c>
      <c r="AA5" s="166" t="b">
        <f aca="true" t="shared" si="3" ref="AA5:AA19">J5=K5+L5</f>
        <v>1</v>
      </c>
    </row>
    <row r="6" spans="1:27" s="216" customFormat="1" ht="180">
      <c r="A6" s="512">
        <v>4</v>
      </c>
      <c r="B6" s="467" t="s">
        <v>919</v>
      </c>
      <c r="C6" s="455" t="s">
        <v>313</v>
      </c>
      <c r="D6" s="467" t="s">
        <v>284</v>
      </c>
      <c r="E6" s="486">
        <v>1263</v>
      </c>
      <c r="F6" s="487" t="s">
        <v>926</v>
      </c>
      <c r="G6" s="488" t="s">
        <v>72</v>
      </c>
      <c r="H6" s="489">
        <v>0.70433</v>
      </c>
      <c r="I6" s="473" t="s">
        <v>953</v>
      </c>
      <c r="J6" s="513">
        <v>19852221.98</v>
      </c>
      <c r="K6" s="513">
        <v>9926110</v>
      </c>
      <c r="L6" s="513">
        <v>9926111.98</v>
      </c>
      <c r="M6" s="468">
        <v>0.5</v>
      </c>
      <c r="N6" s="514"/>
      <c r="O6" s="514"/>
      <c r="P6" s="515"/>
      <c r="Q6" s="515">
        <v>1731701</v>
      </c>
      <c r="R6" s="515">
        <v>437021</v>
      </c>
      <c r="S6" s="515">
        <v>7757388</v>
      </c>
      <c r="T6" s="480"/>
      <c r="U6" s="480"/>
      <c r="V6" s="480"/>
      <c r="W6" s="480"/>
      <c r="X6" s="164" t="b">
        <f t="shared" si="0"/>
        <v>1</v>
      </c>
      <c r="Y6" s="165">
        <f t="shared" si="1"/>
        <v>0.5</v>
      </c>
      <c r="Z6" s="166" t="b">
        <f t="shared" si="2"/>
        <v>1</v>
      </c>
      <c r="AA6" s="166" t="b">
        <f t="shared" si="3"/>
        <v>1</v>
      </c>
    </row>
    <row r="7" spans="1:27" s="216" customFormat="1" ht="45">
      <c r="A7" s="512">
        <v>5</v>
      </c>
      <c r="B7" s="467" t="s">
        <v>342</v>
      </c>
      <c r="C7" s="455" t="s">
        <v>313</v>
      </c>
      <c r="D7" s="477" t="s">
        <v>69</v>
      </c>
      <c r="E7" s="486">
        <v>1212</v>
      </c>
      <c r="F7" s="487" t="s">
        <v>356</v>
      </c>
      <c r="G7" s="501" t="s">
        <v>74</v>
      </c>
      <c r="H7" s="502">
        <v>3.266</v>
      </c>
      <c r="I7" s="477" t="s">
        <v>357</v>
      </c>
      <c r="J7" s="460">
        <v>12571010.6</v>
      </c>
      <c r="K7" s="460">
        <v>6285504</v>
      </c>
      <c r="L7" s="460">
        <v>6285506.6</v>
      </c>
      <c r="M7" s="468">
        <v>0.5</v>
      </c>
      <c r="N7" s="478"/>
      <c r="O7" s="478"/>
      <c r="P7" s="470"/>
      <c r="Q7" s="470">
        <v>1095168</v>
      </c>
      <c r="R7" s="470">
        <v>545168</v>
      </c>
      <c r="S7" s="470">
        <v>4645168</v>
      </c>
      <c r="T7" s="480"/>
      <c r="U7" s="480"/>
      <c r="V7" s="480"/>
      <c r="W7" s="480"/>
      <c r="X7" s="164" t="b">
        <f t="shared" si="0"/>
        <v>1</v>
      </c>
      <c r="Y7" s="165">
        <f t="shared" si="1"/>
        <v>0.5</v>
      </c>
      <c r="Z7" s="166" t="b">
        <f t="shared" si="2"/>
        <v>1</v>
      </c>
      <c r="AA7" s="166" t="b">
        <f t="shared" si="3"/>
        <v>1</v>
      </c>
    </row>
    <row r="8" spans="1:27" s="215" customFormat="1" ht="45">
      <c r="A8" s="323">
        <v>6</v>
      </c>
      <c r="B8" s="576" t="s">
        <v>917</v>
      </c>
      <c r="C8" s="492" t="s">
        <v>314</v>
      </c>
      <c r="D8" s="576" t="s">
        <v>334</v>
      </c>
      <c r="E8" s="322">
        <v>1201</v>
      </c>
      <c r="F8" s="329" t="s">
        <v>924</v>
      </c>
      <c r="G8" s="577" t="s">
        <v>74</v>
      </c>
      <c r="H8" s="578">
        <v>0.593</v>
      </c>
      <c r="I8" s="576" t="s">
        <v>350</v>
      </c>
      <c r="J8" s="509">
        <v>1842149.62</v>
      </c>
      <c r="K8" s="509">
        <v>921074</v>
      </c>
      <c r="L8" s="509">
        <v>921075.6200000001</v>
      </c>
      <c r="M8" s="498">
        <v>0.5</v>
      </c>
      <c r="N8" s="510"/>
      <c r="O8" s="510"/>
      <c r="P8" s="321"/>
      <c r="Q8" s="321">
        <v>921074</v>
      </c>
      <c r="R8" s="321"/>
      <c r="S8" s="321"/>
      <c r="T8" s="511"/>
      <c r="U8" s="511"/>
      <c r="V8" s="511"/>
      <c r="W8" s="511"/>
      <c r="X8" s="164" t="b">
        <f t="shared" si="0"/>
        <v>1</v>
      </c>
      <c r="Y8" s="165">
        <f t="shared" si="1"/>
        <v>0.5</v>
      </c>
      <c r="Z8" s="166" t="b">
        <f t="shared" si="2"/>
        <v>1</v>
      </c>
      <c r="AA8" s="166" t="b">
        <f t="shared" si="3"/>
        <v>1</v>
      </c>
    </row>
    <row r="9" spans="1:27" s="216" customFormat="1" ht="60">
      <c r="A9" s="512">
        <v>7</v>
      </c>
      <c r="B9" s="467" t="s">
        <v>918</v>
      </c>
      <c r="C9" s="455" t="s">
        <v>313</v>
      </c>
      <c r="D9" s="467" t="s">
        <v>62</v>
      </c>
      <c r="E9" s="486">
        <v>1207</v>
      </c>
      <c r="F9" s="487" t="s">
        <v>925</v>
      </c>
      <c r="G9" s="488" t="s">
        <v>77</v>
      </c>
      <c r="H9" s="489">
        <v>5.204</v>
      </c>
      <c r="I9" s="467" t="s">
        <v>981</v>
      </c>
      <c r="J9" s="513">
        <v>4848834.44</v>
      </c>
      <c r="K9" s="513">
        <v>2424417</v>
      </c>
      <c r="L9" s="513">
        <v>2424417.4400000004</v>
      </c>
      <c r="M9" s="468">
        <v>0.5</v>
      </c>
      <c r="N9" s="514"/>
      <c r="O9" s="514"/>
      <c r="P9" s="515"/>
      <c r="Q9" s="515">
        <v>1200000</v>
      </c>
      <c r="R9" s="515">
        <v>174417</v>
      </c>
      <c r="S9" s="515">
        <v>1050000</v>
      </c>
      <c r="T9" s="480"/>
      <c r="U9" s="480"/>
      <c r="V9" s="480"/>
      <c r="W9" s="480"/>
      <c r="X9" s="164" t="b">
        <f t="shared" si="0"/>
        <v>1</v>
      </c>
      <c r="Y9" s="165">
        <f t="shared" si="1"/>
        <v>0.5</v>
      </c>
      <c r="Z9" s="166" t="b">
        <f t="shared" si="2"/>
        <v>1</v>
      </c>
      <c r="AA9" s="166" t="b">
        <f t="shared" si="3"/>
        <v>1</v>
      </c>
    </row>
    <row r="10" spans="1:27" s="216" customFormat="1" ht="75">
      <c r="A10" s="512">
        <v>8</v>
      </c>
      <c r="B10" s="477" t="s">
        <v>920</v>
      </c>
      <c r="C10" s="455" t="s">
        <v>313</v>
      </c>
      <c r="D10" s="477" t="s">
        <v>62</v>
      </c>
      <c r="E10" s="486">
        <v>1207</v>
      </c>
      <c r="F10" s="487" t="s">
        <v>927</v>
      </c>
      <c r="G10" s="501" t="s">
        <v>77</v>
      </c>
      <c r="H10" s="502">
        <v>10.508</v>
      </c>
      <c r="I10" s="477" t="s">
        <v>928</v>
      </c>
      <c r="J10" s="513">
        <v>22286353.36</v>
      </c>
      <c r="K10" s="513">
        <v>11143176</v>
      </c>
      <c r="L10" s="513">
        <v>11143177.36</v>
      </c>
      <c r="M10" s="468">
        <v>0.5</v>
      </c>
      <c r="N10" s="514"/>
      <c r="O10" s="514"/>
      <c r="P10" s="515"/>
      <c r="Q10" s="515">
        <v>3950000</v>
      </c>
      <c r="R10" s="515">
        <v>7193176</v>
      </c>
      <c r="S10" s="515"/>
      <c r="T10" s="480"/>
      <c r="U10" s="480"/>
      <c r="V10" s="480"/>
      <c r="W10" s="480"/>
      <c r="X10" s="164" t="b">
        <f t="shared" si="0"/>
        <v>1</v>
      </c>
      <c r="Y10" s="165">
        <f t="shared" si="1"/>
        <v>0.5</v>
      </c>
      <c r="Z10" s="166" t="b">
        <f t="shared" si="2"/>
        <v>1</v>
      </c>
      <c r="AA10" s="166" t="b">
        <f t="shared" si="3"/>
        <v>1</v>
      </c>
    </row>
    <row r="11" spans="1:27" s="215" customFormat="1" ht="75">
      <c r="A11" s="323">
        <v>9</v>
      </c>
      <c r="B11" s="327" t="s">
        <v>922</v>
      </c>
      <c r="C11" s="492" t="s">
        <v>314</v>
      </c>
      <c r="D11" s="327" t="s">
        <v>335</v>
      </c>
      <c r="E11" s="322">
        <v>1211</v>
      </c>
      <c r="F11" s="329" t="s">
        <v>931</v>
      </c>
      <c r="G11" s="330" t="s">
        <v>72</v>
      </c>
      <c r="H11" s="331">
        <v>1.48943</v>
      </c>
      <c r="I11" s="327" t="s">
        <v>932</v>
      </c>
      <c r="J11" s="509">
        <v>5907480.41</v>
      </c>
      <c r="K11" s="509">
        <v>2953740</v>
      </c>
      <c r="L11" s="509">
        <v>2953740.41</v>
      </c>
      <c r="M11" s="498">
        <v>0.5</v>
      </c>
      <c r="N11" s="510"/>
      <c r="O11" s="510"/>
      <c r="P11" s="321"/>
      <c r="Q11" s="321">
        <v>2953740</v>
      </c>
      <c r="R11" s="321"/>
      <c r="S11" s="321"/>
      <c r="T11" s="511"/>
      <c r="U11" s="511"/>
      <c r="V11" s="511"/>
      <c r="W11" s="511"/>
      <c r="X11" s="164" t="b">
        <f t="shared" si="0"/>
        <v>1</v>
      </c>
      <c r="Y11" s="165">
        <f t="shared" si="1"/>
        <v>0.5</v>
      </c>
      <c r="Z11" s="166" t="b">
        <f t="shared" si="2"/>
        <v>1</v>
      </c>
      <c r="AA11" s="166" t="b">
        <f t="shared" si="3"/>
        <v>1</v>
      </c>
    </row>
    <row r="12" spans="1:27" s="216" customFormat="1" ht="60">
      <c r="A12" s="512">
        <v>10</v>
      </c>
      <c r="B12" s="369" t="s">
        <v>883</v>
      </c>
      <c r="C12" s="455" t="s">
        <v>313</v>
      </c>
      <c r="D12" s="477" t="s">
        <v>68</v>
      </c>
      <c r="E12" s="486">
        <v>1215</v>
      </c>
      <c r="F12" s="487" t="s">
        <v>899</v>
      </c>
      <c r="G12" s="501" t="s">
        <v>77</v>
      </c>
      <c r="H12" s="502">
        <v>1.506</v>
      </c>
      <c r="I12" s="477" t="s">
        <v>352</v>
      </c>
      <c r="J12" s="513">
        <v>2957982.54</v>
      </c>
      <c r="K12" s="513">
        <v>1478990</v>
      </c>
      <c r="L12" s="513">
        <v>1478992.54</v>
      </c>
      <c r="M12" s="468">
        <v>0.5</v>
      </c>
      <c r="N12" s="514"/>
      <c r="O12" s="514"/>
      <c r="P12" s="515"/>
      <c r="Q12" s="515">
        <v>443697</v>
      </c>
      <c r="R12" s="515">
        <v>1035293</v>
      </c>
      <c r="S12" s="515"/>
      <c r="T12" s="480"/>
      <c r="U12" s="480"/>
      <c r="V12" s="480"/>
      <c r="W12" s="480"/>
      <c r="X12" s="164" t="b">
        <f t="shared" si="0"/>
        <v>1</v>
      </c>
      <c r="Y12" s="165">
        <f t="shared" si="1"/>
        <v>0.5</v>
      </c>
      <c r="Z12" s="166" t="b">
        <f t="shared" si="2"/>
        <v>1</v>
      </c>
      <c r="AA12" s="166" t="b">
        <f t="shared" si="3"/>
        <v>1</v>
      </c>
    </row>
    <row r="13" spans="1:27" s="216" customFormat="1" ht="45">
      <c r="A13" s="512">
        <v>11</v>
      </c>
      <c r="B13" s="477" t="s">
        <v>884</v>
      </c>
      <c r="C13" s="455" t="s">
        <v>313</v>
      </c>
      <c r="D13" s="477" t="s">
        <v>93</v>
      </c>
      <c r="E13" s="486">
        <v>1213</v>
      </c>
      <c r="F13" s="487" t="s">
        <v>900</v>
      </c>
      <c r="G13" s="501" t="s">
        <v>72</v>
      </c>
      <c r="H13" s="502">
        <v>0.844</v>
      </c>
      <c r="I13" s="477" t="s">
        <v>382</v>
      </c>
      <c r="J13" s="513">
        <v>5169251.29</v>
      </c>
      <c r="K13" s="513">
        <v>2584624</v>
      </c>
      <c r="L13" s="513">
        <v>2584627.29</v>
      </c>
      <c r="M13" s="468">
        <v>0.5</v>
      </c>
      <c r="N13" s="514"/>
      <c r="O13" s="514"/>
      <c r="P13" s="515"/>
      <c r="Q13" s="515">
        <v>1341676</v>
      </c>
      <c r="R13" s="515">
        <v>1242948</v>
      </c>
      <c r="S13" s="515"/>
      <c r="T13" s="480"/>
      <c r="U13" s="480"/>
      <c r="V13" s="480"/>
      <c r="W13" s="480"/>
      <c r="X13" s="164" t="b">
        <f t="shared" si="0"/>
        <v>1</v>
      </c>
      <c r="Y13" s="165">
        <f t="shared" si="1"/>
        <v>0.5</v>
      </c>
      <c r="Z13" s="166" t="b">
        <f t="shared" si="2"/>
        <v>1</v>
      </c>
      <c r="AA13" s="166" t="b">
        <f t="shared" si="3"/>
        <v>1</v>
      </c>
    </row>
    <row r="14" spans="1:27" s="216" customFormat="1" ht="60">
      <c r="A14" s="512">
        <v>12</v>
      </c>
      <c r="B14" s="477" t="s">
        <v>886</v>
      </c>
      <c r="C14" s="455" t="s">
        <v>313</v>
      </c>
      <c r="D14" s="477" t="s">
        <v>335</v>
      </c>
      <c r="E14" s="486">
        <v>1211</v>
      </c>
      <c r="F14" s="487" t="s">
        <v>902</v>
      </c>
      <c r="G14" s="501" t="s">
        <v>74</v>
      </c>
      <c r="H14" s="502">
        <v>2.83</v>
      </c>
      <c r="I14" s="477" t="s">
        <v>903</v>
      </c>
      <c r="J14" s="513">
        <v>11100328.02</v>
      </c>
      <c r="K14" s="513">
        <v>5550164</v>
      </c>
      <c r="L14" s="513">
        <v>5550164.02</v>
      </c>
      <c r="M14" s="468">
        <v>0.5</v>
      </c>
      <c r="N14" s="514"/>
      <c r="O14" s="514"/>
      <c r="P14" s="515"/>
      <c r="Q14" s="515">
        <v>2775082</v>
      </c>
      <c r="R14" s="515">
        <v>2775082</v>
      </c>
      <c r="S14" s="515"/>
      <c r="T14" s="480"/>
      <c r="U14" s="480"/>
      <c r="V14" s="480"/>
      <c r="W14" s="480"/>
      <c r="X14" s="164" t="b">
        <f t="shared" si="0"/>
        <v>1</v>
      </c>
      <c r="Y14" s="165">
        <f t="shared" si="1"/>
        <v>0.5</v>
      </c>
      <c r="Z14" s="166" t="b">
        <f t="shared" si="2"/>
        <v>1</v>
      </c>
      <c r="AA14" s="166" t="b">
        <f t="shared" si="3"/>
        <v>1</v>
      </c>
    </row>
    <row r="15" spans="1:27" s="216" customFormat="1" ht="45">
      <c r="A15" s="512">
        <v>13</v>
      </c>
      <c r="B15" s="477" t="s">
        <v>887</v>
      </c>
      <c r="C15" s="455" t="s">
        <v>313</v>
      </c>
      <c r="D15" s="477" t="s">
        <v>70</v>
      </c>
      <c r="E15" s="486">
        <v>1218</v>
      </c>
      <c r="F15" s="487" t="s">
        <v>904</v>
      </c>
      <c r="G15" s="501" t="s">
        <v>74</v>
      </c>
      <c r="H15" s="502">
        <v>2.693</v>
      </c>
      <c r="I15" s="477" t="s">
        <v>905</v>
      </c>
      <c r="J15" s="513">
        <v>7175168</v>
      </c>
      <c r="K15" s="513">
        <v>3587584</v>
      </c>
      <c r="L15" s="513">
        <v>3587584</v>
      </c>
      <c r="M15" s="468">
        <v>0.5</v>
      </c>
      <c r="N15" s="514"/>
      <c r="O15" s="514"/>
      <c r="P15" s="515"/>
      <c r="Q15" s="515">
        <v>2000000</v>
      </c>
      <c r="R15" s="515">
        <v>1587584</v>
      </c>
      <c r="S15" s="515"/>
      <c r="T15" s="480"/>
      <c r="U15" s="480"/>
      <c r="V15" s="480"/>
      <c r="W15" s="480"/>
      <c r="X15" s="164" t="b">
        <f t="shared" si="0"/>
        <v>1</v>
      </c>
      <c r="Y15" s="165">
        <f t="shared" si="1"/>
        <v>0.5</v>
      </c>
      <c r="Z15" s="166" t="b">
        <f t="shared" si="2"/>
        <v>1</v>
      </c>
      <c r="AA15" s="166" t="b">
        <f t="shared" si="3"/>
        <v>1</v>
      </c>
    </row>
    <row r="16" spans="1:27" s="216" customFormat="1" ht="45">
      <c r="A16" s="512">
        <v>14</v>
      </c>
      <c r="B16" s="477" t="s">
        <v>888</v>
      </c>
      <c r="C16" s="455" t="s">
        <v>313</v>
      </c>
      <c r="D16" s="477" t="s">
        <v>70</v>
      </c>
      <c r="E16" s="486">
        <v>1218</v>
      </c>
      <c r="F16" s="487" t="s">
        <v>906</v>
      </c>
      <c r="G16" s="501" t="s">
        <v>74</v>
      </c>
      <c r="H16" s="502">
        <v>0.868</v>
      </c>
      <c r="I16" s="477" t="s">
        <v>976</v>
      </c>
      <c r="J16" s="513">
        <v>2459298.88</v>
      </c>
      <c r="K16" s="513">
        <v>1229648</v>
      </c>
      <c r="L16" s="513">
        <v>1229650.88</v>
      </c>
      <c r="M16" s="468">
        <v>0.5</v>
      </c>
      <c r="N16" s="514"/>
      <c r="O16" s="514"/>
      <c r="P16" s="515"/>
      <c r="Q16" s="515">
        <v>614824</v>
      </c>
      <c r="R16" s="515">
        <v>614824</v>
      </c>
      <c r="S16" s="515"/>
      <c r="T16" s="480"/>
      <c r="U16" s="480"/>
      <c r="V16" s="480"/>
      <c r="W16" s="480"/>
      <c r="X16" s="164" t="b">
        <f t="shared" si="0"/>
        <v>1</v>
      </c>
      <c r="Y16" s="165">
        <f t="shared" si="1"/>
        <v>0.5</v>
      </c>
      <c r="Z16" s="166" t="b">
        <f t="shared" si="2"/>
        <v>1</v>
      </c>
      <c r="AA16" s="166" t="b">
        <f t="shared" si="3"/>
        <v>1</v>
      </c>
    </row>
    <row r="17" spans="1:27" s="215" customFormat="1" ht="60">
      <c r="A17" s="323">
        <v>15</v>
      </c>
      <c r="B17" s="327" t="s">
        <v>889</v>
      </c>
      <c r="C17" s="492" t="s">
        <v>314</v>
      </c>
      <c r="D17" s="327" t="s">
        <v>336</v>
      </c>
      <c r="E17" s="322">
        <v>1205</v>
      </c>
      <c r="F17" s="329" t="s">
        <v>907</v>
      </c>
      <c r="G17" s="330" t="s">
        <v>77</v>
      </c>
      <c r="H17" s="331">
        <v>0.072</v>
      </c>
      <c r="I17" s="327" t="s">
        <v>333</v>
      </c>
      <c r="J17" s="509">
        <v>1043404.78</v>
      </c>
      <c r="K17" s="509">
        <v>521702</v>
      </c>
      <c r="L17" s="509">
        <v>521702.78</v>
      </c>
      <c r="M17" s="498">
        <v>0.5</v>
      </c>
      <c r="N17" s="510"/>
      <c r="O17" s="510"/>
      <c r="P17" s="321"/>
      <c r="Q17" s="321">
        <v>521702</v>
      </c>
      <c r="R17" s="321"/>
      <c r="S17" s="321"/>
      <c r="T17" s="511"/>
      <c r="U17" s="511"/>
      <c r="V17" s="511"/>
      <c r="W17" s="511"/>
      <c r="X17" s="164" t="b">
        <f t="shared" si="0"/>
        <v>1</v>
      </c>
      <c r="Y17" s="165">
        <f t="shared" si="1"/>
        <v>0.5</v>
      </c>
      <c r="Z17" s="166" t="b">
        <f t="shared" si="2"/>
        <v>1</v>
      </c>
      <c r="AA17" s="166" t="b">
        <f t="shared" si="3"/>
        <v>1</v>
      </c>
    </row>
    <row r="18" spans="1:27" s="216" customFormat="1" ht="45">
      <c r="A18" s="512">
        <v>16</v>
      </c>
      <c r="B18" s="477" t="s">
        <v>891</v>
      </c>
      <c r="C18" s="455" t="s">
        <v>313</v>
      </c>
      <c r="D18" s="477" t="s">
        <v>93</v>
      </c>
      <c r="E18" s="486">
        <v>1213</v>
      </c>
      <c r="F18" s="487" t="s">
        <v>909</v>
      </c>
      <c r="G18" s="501" t="s">
        <v>74</v>
      </c>
      <c r="H18" s="502">
        <v>1.951</v>
      </c>
      <c r="I18" s="477" t="s">
        <v>910</v>
      </c>
      <c r="J18" s="513">
        <v>8606841.09</v>
      </c>
      <c r="K18" s="513">
        <v>4303420</v>
      </c>
      <c r="L18" s="513">
        <v>4303421.09</v>
      </c>
      <c r="M18" s="468">
        <v>0.5</v>
      </c>
      <c r="N18" s="514"/>
      <c r="O18" s="514"/>
      <c r="P18" s="515"/>
      <c r="Q18" s="515">
        <v>1833791</v>
      </c>
      <c r="R18" s="515">
        <v>2469629</v>
      </c>
      <c r="S18" s="515"/>
      <c r="T18" s="480"/>
      <c r="U18" s="480"/>
      <c r="V18" s="480"/>
      <c r="W18" s="480"/>
      <c r="X18" s="164" t="b">
        <f t="shared" si="0"/>
        <v>1</v>
      </c>
      <c r="Y18" s="165">
        <f t="shared" si="1"/>
        <v>0.5</v>
      </c>
      <c r="Z18" s="166" t="b">
        <f t="shared" si="2"/>
        <v>1</v>
      </c>
      <c r="AA18" s="166" t="b">
        <f t="shared" si="3"/>
        <v>1</v>
      </c>
    </row>
    <row r="19" spans="1:27" s="215" customFormat="1" ht="75">
      <c r="A19" s="512">
        <v>17</v>
      </c>
      <c r="B19" s="369" t="s">
        <v>894</v>
      </c>
      <c r="C19" s="455" t="s">
        <v>313</v>
      </c>
      <c r="D19" s="477" t="s">
        <v>68</v>
      </c>
      <c r="E19" s="486">
        <v>1215</v>
      </c>
      <c r="F19" s="487" t="s">
        <v>913</v>
      </c>
      <c r="G19" s="501" t="s">
        <v>77</v>
      </c>
      <c r="H19" s="502">
        <v>1.947</v>
      </c>
      <c r="I19" s="477" t="s">
        <v>352</v>
      </c>
      <c r="J19" s="513">
        <v>2642519.7</v>
      </c>
      <c r="K19" s="513">
        <v>1321258</v>
      </c>
      <c r="L19" s="513">
        <v>1321261.7000000002</v>
      </c>
      <c r="M19" s="468">
        <v>0.5</v>
      </c>
      <c r="N19" s="514"/>
      <c r="O19" s="514"/>
      <c r="P19" s="515"/>
      <c r="Q19" s="515">
        <v>396377</v>
      </c>
      <c r="R19" s="515">
        <v>924881</v>
      </c>
      <c r="S19" s="321"/>
      <c r="T19" s="511"/>
      <c r="U19" s="511"/>
      <c r="V19" s="511"/>
      <c r="W19" s="511"/>
      <c r="X19" s="164" t="b">
        <f t="shared" si="0"/>
        <v>1</v>
      </c>
      <c r="Y19" s="165">
        <f t="shared" si="1"/>
        <v>0.5</v>
      </c>
      <c r="Z19" s="166" t="b">
        <f t="shared" si="2"/>
        <v>1</v>
      </c>
      <c r="AA19" s="166" t="b">
        <f t="shared" si="3"/>
        <v>1</v>
      </c>
    </row>
    <row r="20" spans="1:27" ht="19.5" customHeight="1">
      <c r="A20" s="434" t="s">
        <v>43</v>
      </c>
      <c r="B20" s="434"/>
      <c r="C20" s="434"/>
      <c r="D20" s="434"/>
      <c r="E20" s="434"/>
      <c r="F20" s="434"/>
      <c r="G20" s="434"/>
      <c r="H20" s="308">
        <f>SUM(H3:H19)</f>
        <v>53.279740000000004</v>
      </c>
      <c r="I20" s="217" t="s">
        <v>14</v>
      </c>
      <c r="J20" s="125">
        <f>SUM(J3:J19)</f>
        <v>163275444.66</v>
      </c>
      <c r="K20" s="126">
        <f>SUM(K3:K19)</f>
        <v>82282688</v>
      </c>
      <c r="L20" s="126">
        <f>SUM(L3:L19)</f>
        <v>80992756.66</v>
      </c>
      <c r="M20" s="218" t="s">
        <v>14</v>
      </c>
      <c r="N20" s="219">
        <f aca="true" t="shared" si="4" ref="N20:W20">SUM(N3:N19)</f>
        <v>0</v>
      </c>
      <c r="O20" s="219">
        <f t="shared" si="4"/>
        <v>0</v>
      </c>
      <c r="P20" s="219">
        <f t="shared" si="4"/>
        <v>0</v>
      </c>
      <c r="Q20" s="219">
        <f t="shared" si="4"/>
        <v>31465464</v>
      </c>
      <c r="R20" s="219">
        <f t="shared" si="4"/>
        <v>29678178</v>
      </c>
      <c r="S20" s="219">
        <f t="shared" si="4"/>
        <v>15452556</v>
      </c>
      <c r="T20" s="219">
        <f t="shared" si="4"/>
        <v>5686490</v>
      </c>
      <c r="U20" s="219">
        <f t="shared" si="4"/>
        <v>0</v>
      </c>
      <c r="V20" s="219">
        <f t="shared" si="4"/>
        <v>0</v>
      </c>
      <c r="W20" s="219">
        <f t="shared" si="4"/>
        <v>0</v>
      </c>
      <c r="X20" s="362"/>
      <c r="Y20" s="367"/>
      <c r="Z20" s="364"/>
      <c r="AA20" s="364"/>
    </row>
    <row r="21" spans="1:27" ht="19.5" customHeight="1">
      <c r="A21" s="434" t="s">
        <v>37</v>
      </c>
      <c r="B21" s="434"/>
      <c r="C21" s="434"/>
      <c r="D21" s="434"/>
      <c r="E21" s="434"/>
      <c r="F21" s="434"/>
      <c r="G21" s="434"/>
      <c r="H21" s="308">
        <f>SUMIF($C$3:$C$19,"N",H3:H19)</f>
        <v>2.15443</v>
      </c>
      <c r="I21" s="217" t="s">
        <v>14</v>
      </c>
      <c r="J21" s="125">
        <f>SUMIF($C$3:$C$19,"N",J3:J19)</f>
        <v>8793034.81</v>
      </c>
      <c r="K21" s="126">
        <f>SUMIF($C$3:$C$19,"N",K3:K19)</f>
        <v>4396516</v>
      </c>
      <c r="L21" s="126">
        <f>SUMIF($C$3:$C$19,"N",L3:L19)</f>
        <v>4396518.8100000005</v>
      </c>
      <c r="M21" s="218" t="s">
        <v>14</v>
      </c>
      <c r="N21" s="219">
        <f aca="true" t="shared" si="5" ref="N21:W21">SUMIF($C$3:$C$19,"N",N3:N19)</f>
        <v>0</v>
      </c>
      <c r="O21" s="219">
        <f t="shared" si="5"/>
        <v>0</v>
      </c>
      <c r="P21" s="219">
        <f t="shared" si="5"/>
        <v>0</v>
      </c>
      <c r="Q21" s="219">
        <f t="shared" si="5"/>
        <v>4396516</v>
      </c>
      <c r="R21" s="219">
        <f t="shared" si="5"/>
        <v>0</v>
      </c>
      <c r="S21" s="219">
        <f t="shared" si="5"/>
        <v>0</v>
      </c>
      <c r="T21" s="219">
        <f t="shared" si="5"/>
        <v>0</v>
      </c>
      <c r="U21" s="219">
        <f t="shared" si="5"/>
        <v>0</v>
      </c>
      <c r="V21" s="219">
        <f t="shared" si="5"/>
        <v>0</v>
      </c>
      <c r="W21" s="219">
        <f t="shared" si="5"/>
        <v>0</v>
      </c>
      <c r="X21" s="362"/>
      <c r="Y21" s="367"/>
      <c r="Z21" s="364"/>
      <c r="AA21" s="364"/>
    </row>
    <row r="22" spans="1:27" ht="19.5" customHeight="1">
      <c r="A22" s="437" t="s">
        <v>38</v>
      </c>
      <c r="B22" s="437"/>
      <c r="C22" s="437"/>
      <c r="D22" s="437"/>
      <c r="E22" s="437"/>
      <c r="F22" s="437"/>
      <c r="G22" s="437"/>
      <c r="H22" s="309">
        <f>SUMIF($C$3:$C$19,"W",H3:H19)</f>
        <v>51.125310000000006</v>
      </c>
      <c r="I22" s="220" t="s">
        <v>14</v>
      </c>
      <c r="J22" s="127">
        <f>SUMIF($C$3:$C$19,"W",J3:J19)</f>
        <v>154482409.85</v>
      </c>
      <c r="K22" s="128">
        <f>SUMIF($C$3:$C$19,"W",K3:K19)</f>
        <v>77886172</v>
      </c>
      <c r="L22" s="128">
        <f>SUMIF($C$3:$C$19,"W",L3:L19)</f>
        <v>76596237.85</v>
      </c>
      <c r="M22" s="221" t="s">
        <v>14</v>
      </c>
      <c r="N22" s="222">
        <f aca="true" t="shared" si="6" ref="N22:W22">SUMIF($C$3:$C$19,"W",N3:N19)</f>
        <v>0</v>
      </c>
      <c r="O22" s="222">
        <f t="shared" si="6"/>
        <v>0</v>
      </c>
      <c r="P22" s="222">
        <f t="shared" si="6"/>
        <v>0</v>
      </c>
      <c r="Q22" s="222">
        <f t="shared" si="6"/>
        <v>27068948</v>
      </c>
      <c r="R22" s="222">
        <f t="shared" si="6"/>
        <v>29678178</v>
      </c>
      <c r="S22" s="222">
        <f t="shared" si="6"/>
        <v>15452556</v>
      </c>
      <c r="T22" s="222">
        <f t="shared" si="6"/>
        <v>5686490</v>
      </c>
      <c r="U22" s="222">
        <f t="shared" si="6"/>
        <v>0</v>
      </c>
      <c r="V22" s="222">
        <f t="shared" si="6"/>
        <v>0</v>
      </c>
      <c r="W22" s="222">
        <f t="shared" si="6"/>
        <v>0</v>
      </c>
      <c r="X22" s="362"/>
      <c r="Y22" s="367"/>
      <c r="Z22" s="364"/>
      <c r="AA22" s="364"/>
    </row>
    <row r="23" ht="12">
      <c r="A23" s="223"/>
    </row>
    <row r="24" spans="1:23" ht="12">
      <c r="A24" s="132" t="s">
        <v>24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8"/>
      <c r="V24" s="228"/>
      <c r="W24" s="228"/>
    </row>
    <row r="25" spans="1:23" ht="12">
      <c r="A25" s="135" t="s">
        <v>25</v>
      </c>
      <c r="H25" s="229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0" ht="12">
      <c r="A26" s="132" t="s">
        <v>34</v>
      </c>
      <c r="P26" s="229"/>
      <c r="Q26" s="229"/>
      <c r="R26" s="229"/>
      <c r="S26" s="229"/>
      <c r="T26" s="229"/>
    </row>
    <row r="27" spans="1:16" ht="12">
      <c r="A27" s="146"/>
      <c r="J27" s="227"/>
      <c r="P27" s="229"/>
    </row>
    <row r="28" spans="16:18" ht="12">
      <c r="P28" s="229"/>
      <c r="Q28" s="229"/>
      <c r="R28" s="229"/>
    </row>
  </sheetData>
  <sheetProtection/>
  <protectedRanges>
    <protectedRange sqref="B7" name="Rozstęp1_1_2"/>
    <protectedRange sqref="D7" name="Rozstęp1_1_2_1"/>
    <protectedRange sqref="E7" name="Rozstęp1_1_2_3"/>
    <protectedRange sqref="F7:I7" name="Rozstęp1_1_2_4"/>
    <protectedRange sqref="B4:B6 B8:B19" name="Rozstęp1_1_2_7"/>
    <protectedRange sqref="D4:E6 D8:E19" name="Rozstęp1_1_2_8"/>
    <protectedRange sqref="F6:I6 F16:H16 F4:H5 F17:I19 F8:I15" name="Rozstęp1_1_2_9"/>
    <protectedRange sqref="I4" name="Rozstęp1_1_2_9_1"/>
    <protectedRange sqref="I16" name="Rozstęp1_1_2_9_2"/>
    <protectedRange sqref="I5" name="Rozstęp1_1_2_9_3"/>
    <protectedRange sqref="B3" name="Rozstęp1_1_2_2"/>
    <protectedRange sqref="D3" name="Rozstęp1_1_2_1_1"/>
    <protectedRange sqref="E3" name="Rozstęp1_1_2_3_1"/>
    <protectedRange sqref="F3:I3" name="Rozstęp1_1_2_4_1"/>
  </protectedRanges>
  <mergeCells count="17">
    <mergeCell ref="A22:G22"/>
    <mergeCell ref="I1:I2"/>
    <mergeCell ref="A1:A2"/>
    <mergeCell ref="B1:B2"/>
    <mergeCell ref="C1:C2"/>
    <mergeCell ref="F1:F2"/>
    <mergeCell ref="G1:G2"/>
    <mergeCell ref="H1:H2"/>
    <mergeCell ref="D1:D2"/>
    <mergeCell ref="A20:G20"/>
    <mergeCell ref="N1:W1"/>
    <mergeCell ref="E1:E2"/>
    <mergeCell ref="A21:G21"/>
    <mergeCell ref="J1:J2"/>
    <mergeCell ref="K1:K2"/>
    <mergeCell ref="L1:L2"/>
    <mergeCell ref="M1:M2"/>
  </mergeCells>
  <conditionalFormatting sqref="X3:Z22">
    <cfRule type="containsText" priority="30" dxfId="110" operator="containsText" text="fałsz">
      <formula>NOT(ISERROR(SEARCH("fałsz",X3)))</formula>
    </cfRule>
  </conditionalFormatting>
  <conditionalFormatting sqref="AA3:AA19">
    <cfRule type="containsText" priority="1" dxfId="112" operator="containsText" stopIfTrue="1" text="fałsz">
      <formula>NOT(ISERROR(SEARCH("fałsz",AA3)))</formula>
    </cfRule>
  </conditionalFormatting>
  <dataValidations count="3">
    <dataValidation type="list" allowBlank="1" showInputMessage="1" showErrorMessage="1" sqref="C5:C6 C8:C19">
      <formula1>"N,W"</formula1>
    </dataValidation>
    <dataValidation type="list" allowBlank="1" showInputMessage="1" showErrorMessage="1" sqref="C7 C3:C4">
      <formula1>"N,K,W"</formula1>
    </dataValidation>
    <dataValidation type="list" allowBlank="1" showInputMessage="1" showErrorMessage="1" sqref="G3:G19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8" r:id="rId1"/>
  <headerFooter>
    <oddHeader>&amp;LWojewództwo Małopolskie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1"/>
  <sheetViews>
    <sheetView showGridLines="0" view="pageBreakPreview" zoomScale="85" zoomScaleNormal="85" zoomScaleSheetLayoutView="85" workbookViewId="0" topLeftCell="A1">
      <selection activeCell="A1" sqref="A1:A2"/>
    </sheetView>
  </sheetViews>
  <sheetFormatPr defaultColWidth="9.140625" defaultRowHeight="15"/>
  <cols>
    <col min="1" max="1" width="5.00390625" style="142" customWidth="1"/>
    <col min="2" max="2" width="13.00390625" style="142" customWidth="1"/>
    <col min="3" max="3" width="16.00390625" style="140" customWidth="1"/>
    <col min="4" max="4" width="17.28125" style="143" customWidth="1"/>
    <col min="5" max="5" width="8.7109375" style="142" customWidth="1"/>
    <col min="6" max="6" width="12.7109375" style="142" customWidth="1"/>
    <col min="7" max="7" width="46.421875" style="142" customWidth="1"/>
    <col min="8" max="8" width="7.57421875" style="143" customWidth="1"/>
    <col min="9" max="9" width="9.140625" style="235" customWidth="1"/>
    <col min="10" max="10" width="11.28125" style="142" customWidth="1"/>
    <col min="11" max="11" width="16.28125" style="230" customWidth="1"/>
    <col min="12" max="13" width="15.57421875" style="230" customWidth="1"/>
    <col min="14" max="14" width="9.421875" style="182" customWidth="1"/>
    <col min="15" max="16" width="6.7109375" style="179" customWidth="1"/>
    <col min="17" max="17" width="15.57421875" style="179" customWidth="1"/>
    <col min="18" max="18" width="17.421875" style="179" customWidth="1"/>
    <col min="19" max="19" width="15.00390625" style="179" customWidth="1"/>
    <col min="20" max="20" width="18.28125" style="179" customWidth="1"/>
    <col min="21" max="21" width="13.8515625" style="143" customWidth="1"/>
    <col min="22" max="22" width="9.28125" style="143" customWidth="1"/>
    <col min="23" max="23" width="5.421875" style="143" customWidth="1"/>
    <col min="24" max="24" width="5.140625" style="143" customWidth="1"/>
    <col min="25" max="25" width="15.7109375" style="179" customWidth="1"/>
    <col min="26" max="26" width="15.7109375" style="335" customWidth="1"/>
    <col min="27" max="28" width="15.7109375" style="179" customWidth="1"/>
    <col min="29" max="16384" width="9.140625" style="142" customWidth="1"/>
  </cols>
  <sheetData>
    <row r="1" spans="1:28" s="147" customFormat="1" ht="40.5" customHeight="1">
      <c r="A1" s="406" t="s">
        <v>4</v>
      </c>
      <c r="B1" s="406" t="s">
        <v>5</v>
      </c>
      <c r="C1" s="451" t="s">
        <v>44</v>
      </c>
      <c r="D1" s="406" t="s">
        <v>6</v>
      </c>
      <c r="E1" s="406" t="s">
        <v>32</v>
      </c>
      <c r="F1" s="406" t="s">
        <v>15</v>
      </c>
      <c r="G1" s="406" t="s">
        <v>7</v>
      </c>
      <c r="H1" s="406" t="s">
        <v>26</v>
      </c>
      <c r="I1" s="406" t="s">
        <v>8</v>
      </c>
      <c r="J1" s="406" t="s">
        <v>27</v>
      </c>
      <c r="K1" s="444" t="s">
        <v>9</v>
      </c>
      <c r="L1" s="444" t="s">
        <v>10</v>
      </c>
      <c r="M1" s="444" t="s">
        <v>13</v>
      </c>
      <c r="N1" s="446" t="s">
        <v>11</v>
      </c>
      <c r="O1" s="448" t="s">
        <v>12</v>
      </c>
      <c r="P1" s="449"/>
      <c r="Q1" s="449"/>
      <c r="R1" s="449"/>
      <c r="S1" s="449"/>
      <c r="T1" s="449"/>
      <c r="U1" s="449"/>
      <c r="V1" s="449"/>
      <c r="W1" s="449"/>
      <c r="X1" s="450"/>
      <c r="Y1" s="156"/>
      <c r="Z1" s="184"/>
      <c r="AA1" s="156"/>
      <c r="AB1" s="156"/>
    </row>
    <row r="2" spans="1:28" s="143" customFormat="1" ht="19.5" customHeight="1">
      <c r="A2" s="407"/>
      <c r="B2" s="407"/>
      <c r="C2" s="452"/>
      <c r="D2" s="407"/>
      <c r="E2" s="407"/>
      <c r="F2" s="407"/>
      <c r="G2" s="407"/>
      <c r="H2" s="407"/>
      <c r="I2" s="407"/>
      <c r="J2" s="407"/>
      <c r="K2" s="445"/>
      <c r="L2" s="445"/>
      <c r="M2" s="445"/>
      <c r="N2" s="447"/>
      <c r="O2" s="313">
        <v>2019</v>
      </c>
      <c r="P2" s="313">
        <v>2020</v>
      </c>
      <c r="Q2" s="313">
        <v>2021</v>
      </c>
      <c r="R2" s="313">
        <v>2022</v>
      </c>
      <c r="S2" s="313">
        <v>2023</v>
      </c>
      <c r="T2" s="313">
        <v>2024</v>
      </c>
      <c r="U2" s="314">
        <v>2025</v>
      </c>
      <c r="V2" s="314">
        <v>2026</v>
      </c>
      <c r="W2" s="314">
        <v>2027</v>
      </c>
      <c r="X2" s="314">
        <v>2028</v>
      </c>
      <c r="Y2" s="156" t="s">
        <v>28</v>
      </c>
      <c r="Z2" s="184" t="s">
        <v>29</v>
      </c>
      <c r="AA2" s="156" t="s">
        <v>30</v>
      </c>
      <c r="AB2" s="185" t="s">
        <v>31</v>
      </c>
    </row>
    <row r="3" spans="1:28" s="179" customFormat="1" ht="45">
      <c r="A3" s="490">
        <v>1</v>
      </c>
      <c r="B3" s="327" t="s">
        <v>627</v>
      </c>
      <c r="C3" s="323" t="s">
        <v>314</v>
      </c>
      <c r="D3" s="327" t="s">
        <v>738</v>
      </c>
      <c r="E3" s="322">
        <v>1216103</v>
      </c>
      <c r="F3" s="328" t="s">
        <v>161</v>
      </c>
      <c r="G3" s="329" t="s">
        <v>739</v>
      </c>
      <c r="H3" s="330" t="s">
        <v>77</v>
      </c>
      <c r="I3" s="331">
        <v>1.615</v>
      </c>
      <c r="J3" s="327" t="s">
        <v>300</v>
      </c>
      <c r="K3" s="499">
        <v>890295.57</v>
      </c>
      <c r="L3" s="499">
        <v>578692</v>
      </c>
      <c r="M3" s="562">
        <v>311603.56999999995</v>
      </c>
      <c r="N3" s="563">
        <v>0.65</v>
      </c>
      <c r="O3" s="572"/>
      <c r="P3" s="572"/>
      <c r="Q3" s="321"/>
      <c r="R3" s="321">
        <v>578692</v>
      </c>
      <c r="S3" s="321"/>
      <c r="T3" s="321"/>
      <c r="U3" s="573"/>
      <c r="V3" s="553"/>
      <c r="W3" s="553"/>
      <c r="X3" s="553"/>
      <c r="Y3" s="156" t="b">
        <f aca="true" t="shared" si="0" ref="Y3:Y34">L3=SUM(O3:X3)</f>
        <v>1</v>
      </c>
      <c r="Z3" s="184">
        <f aca="true" t="shared" si="1" ref="Z3:Z34">ROUND(L3/K3,4)</f>
        <v>0.65</v>
      </c>
      <c r="AA3" s="156" t="b">
        <f aca="true" t="shared" si="2" ref="AA3:AA34">Z3=N3</f>
        <v>1</v>
      </c>
      <c r="AB3" s="185" t="b">
        <f aca="true" t="shared" si="3" ref="AB3:AB34">K3=L3+M3</f>
        <v>1</v>
      </c>
    </row>
    <row r="4" spans="1:28" s="179" customFormat="1" ht="45">
      <c r="A4" s="490">
        <v>2</v>
      </c>
      <c r="B4" s="327" t="s">
        <v>630</v>
      </c>
      <c r="C4" s="323" t="s">
        <v>314</v>
      </c>
      <c r="D4" s="327" t="s">
        <v>297</v>
      </c>
      <c r="E4" s="322">
        <v>1201063</v>
      </c>
      <c r="F4" s="328" t="s">
        <v>176</v>
      </c>
      <c r="G4" s="329" t="s">
        <v>743</v>
      </c>
      <c r="H4" s="330" t="s">
        <v>77</v>
      </c>
      <c r="I4" s="331">
        <v>1.419</v>
      </c>
      <c r="J4" s="508" t="s">
        <v>979</v>
      </c>
      <c r="K4" s="499">
        <v>1056550.97</v>
      </c>
      <c r="L4" s="499">
        <f>INT(K4*N4)</f>
        <v>739585</v>
      </c>
      <c r="M4" s="562">
        <f>K4-L4</f>
        <v>316965.97</v>
      </c>
      <c r="N4" s="563">
        <v>0.7</v>
      </c>
      <c r="O4" s="572"/>
      <c r="P4" s="572"/>
      <c r="Q4" s="321"/>
      <c r="R4" s="321">
        <f>L4</f>
        <v>739585</v>
      </c>
      <c r="S4" s="321"/>
      <c r="T4" s="321"/>
      <c r="U4" s="573"/>
      <c r="V4" s="553"/>
      <c r="W4" s="553"/>
      <c r="X4" s="553"/>
      <c r="Y4" s="156" t="b">
        <f>L4=SUM(O4:X4)</f>
        <v>1</v>
      </c>
      <c r="Z4" s="184">
        <f>ROUND(L4/K4,4)</f>
        <v>0.7</v>
      </c>
      <c r="AA4" s="156" t="b">
        <f>Z4=N4</f>
        <v>1</v>
      </c>
      <c r="AB4" s="185" t="b">
        <f>K4=L4+M4</f>
        <v>1</v>
      </c>
    </row>
    <row r="5" spans="1:28" s="179" customFormat="1" ht="45">
      <c r="A5" s="490">
        <v>3</v>
      </c>
      <c r="B5" s="327" t="s">
        <v>426</v>
      </c>
      <c r="C5" s="492" t="s">
        <v>314</v>
      </c>
      <c r="D5" s="327" t="s">
        <v>460</v>
      </c>
      <c r="E5" s="322">
        <v>1211042</v>
      </c>
      <c r="F5" s="328" t="s">
        <v>128</v>
      </c>
      <c r="G5" s="329" t="s">
        <v>508</v>
      </c>
      <c r="H5" s="330" t="s">
        <v>74</v>
      </c>
      <c r="I5" s="331">
        <v>0.216</v>
      </c>
      <c r="J5" s="508" t="s">
        <v>307</v>
      </c>
      <c r="K5" s="497">
        <v>457941.87</v>
      </c>
      <c r="L5" s="557">
        <v>320559</v>
      </c>
      <c r="M5" s="558">
        <v>137382.87</v>
      </c>
      <c r="N5" s="559">
        <v>0.7</v>
      </c>
      <c r="O5" s="560"/>
      <c r="P5" s="560"/>
      <c r="Q5" s="560"/>
      <c r="R5" s="481">
        <v>320559</v>
      </c>
      <c r="S5" s="481"/>
      <c r="T5" s="561"/>
      <c r="U5" s="553"/>
      <c r="V5" s="553"/>
      <c r="W5" s="553"/>
      <c r="X5" s="553"/>
      <c r="Y5" s="156"/>
      <c r="Z5" s="184"/>
      <c r="AA5" s="156"/>
      <c r="AB5" s="185"/>
    </row>
    <row r="6" spans="1:28" s="179" customFormat="1" ht="45">
      <c r="A6" s="490">
        <v>4</v>
      </c>
      <c r="B6" s="327" t="s">
        <v>428</v>
      </c>
      <c r="C6" s="492" t="s">
        <v>314</v>
      </c>
      <c r="D6" s="327" t="s">
        <v>461</v>
      </c>
      <c r="E6" s="322">
        <v>1208053</v>
      </c>
      <c r="F6" s="328" t="s">
        <v>200</v>
      </c>
      <c r="G6" s="329" t="s">
        <v>510</v>
      </c>
      <c r="H6" s="330" t="s">
        <v>77</v>
      </c>
      <c r="I6" s="331">
        <v>0.261</v>
      </c>
      <c r="J6" s="565" t="s">
        <v>307</v>
      </c>
      <c r="K6" s="497">
        <v>582828.85</v>
      </c>
      <c r="L6" s="557">
        <v>378838</v>
      </c>
      <c r="M6" s="558">
        <v>203990.84999999998</v>
      </c>
      <c r="N6" s="559">
        <v>0.65</v>
      </c>
      <c r="O6" s="560"/>
      <c r="P6" s="560"/>
      <c r="Q6" s="560"/>
      <c r="R6" s="481">
        <v>378838</v>
      </c>
      <c r="S6" s="481"/>
      <c r="T6" s="561"/>
      <c r="U6" s="553"/>
      <c r="V6" s="553"/>
      <c r="W6" s="553"/>
      <c r="X6" s="553"/>
      <c r="Y6" s="156" t="b">
        <f t="shared" si="0"/>
        <v>1</v>
      </c>
      <c r="Z6" s="184">
        <f t="shared" si="1"/>
        <v>0.65</v>
      </c>
      <c r="AA6" s="156" t="b">
        <f t="shared" si="2"/>
        <v>1</v>
      </c>
      <c r="AB6" s="185" t="b">
        <f t="shared" si="3"/>
        <v>1</v>
      </c>
    </row>
    <row r="7" spans="1:28" s="179" customFormat="1" ht="45">
      <c r="A7" s="490">
        <v>5</v>
      </c>
      <c r="B7" s="477" t="s">
        <v>610</v>
      </c>
      <c r="C7" s="512" t="s">
        <v>313</v>
      </c>
      <c r="D7" s="477" t="s">
        <v>712</v>
      </c>
      <c r="E7" s="486">
        <v>1213023</v>
      </c>
      <c r="F7" s="554" t="s">
        <v>142</v>
      </c>
      <c r="G7" s="487" t="s">
        <v>713</v>
      </c>
      <c r="H7" s="501" t="s">
        <v>74</v>
      </c>
      <c r="I7" s="502">
        <v>0.4935</v>
      </c>
      <c r="J7" s="477" t="s">
        <v>714</v>
      </c>
      <c r="K7" s="471">
        <v>2541129.43</v>
      </c>
      <c r="L7" s="471">
        <v>1270564</v>
      </c>
      <c r="M7" s="500">
        <v>1270565.4300000002</v>
      </c>
      <c r="N7" s="569">
        <v>0.5</v>
      </c>
      <c r="O7" s="579"/>
      <c r="P7" s="579"/>
      <c r="Q7" s="579"/>
      <c r="R7" s="515">
        <v>810157</v>
      </c>
      <c r="S7" s="515">
        <v>460407</v>
      </c>
      <c r="T7" s="515"/>
      <c r="U7" s="515"/>
      <c r="V7" s="579"/>
      <c r="W7" s="579"/>
      <c r="X7" s="579"/>
      <c r="Y7" s="156"/>
      <c r="Z7" s="184"/>
      <c r="AA7" s="156"/>
      <c r="AB7" s="185"/>
    </row>
    <row r="8" spans="1:28" s="179" customFormat="1" ht="45">
      <c r="A8" s="490">
        <v>6</v>
      </c>
      <c r="B8" s="327" t="s">
        <v>431</v>
      </c>
      <c r="C8" s="492" t="s">
        <v>314</v>
      </c>
      <c r="D8" s="327" t="s">
        <v>153</v>
      </c>
      <c r="E8" s="322">
        <v>1205011</v>
      </c>
      <c r="F8" s="328" t="s">
        <v>154</v>
      </c>
      <c r="G8" s="329" t="s">
        <v>513</v>
      </c>
      <c r="H8" s="330" t="s">
        <v>72</v>
      </c>
      <c r="I8" s="331">
        <v>0.748</v>
      </c>
      <c r="J8" s="327" t="s">
        <v>301</v>
      </c>
      <c r="K8" s="497">
        <v>1459579.36</v>
      </c>
      <c r="L8" s="557">
        <v>875747</v>
      </c>
      <c r="M8" s="558">
        <v>583832.3600000001</v>
      </c>
      <c r="N8" s="559">
        <v>0.6</v>
      </c>
      <c r="O8" s="560"/>
      <c r="P8" s="560"/>
      <c r="Q8" s="560"/>
      <c r="R8" s="481">
        <v>875747</v>
      </c>
      <c r="S8" s="481"/>
      <c r="T8" s="561"/>
      <c r="U8" s="553"/>
      <c r="V8" s="553"/>
      <c r="W8" s="553"/>
      <c r="X8" s="553"/>
      <c r="Y8" s="156" t="b">
        <f t="shared" si="0"/>
        <v>1</v>
      </c>
      <c r="Z8" s="184">
        <f t="shared" si="1"/>
        <v>0.6</v>
      </c>
      <c r="AA8" s="156" t="b">
        <f t="shared" si="2"/>
        <v>1</v>
      </c>
      <c r="AB8" s="185" t="b">
        <f t="shared" si="3"/>
        <v>1</v>
      </c>
    </row>
    <row r="9" spans="1:28" s="179" customFormat="1" ht="60">
      <c r="A9" s="490">
        <v>7</v>
      </c>
      <c r="B9" s="327" t="s">
        <v>435</v>
      </c>
      <c r="C9" s="492" t="s">
        <v>314</v>
      </c>
      <c r="D9" s="327" t="s">
        <v>138</v>
      </c>
      <c r="E9" s="322">
        <v>1217042</v>
      </c>
      <c r="F9" s="328" t="s">
        <v>139</v>
      </c>
      <c r="G9" s="329" t="s">
        <v>960</v>
      </c>
      <c r="H9" s="330" t="s">
        <v>77</v>
      </c>
      <c r="I9" s="331">
        <v>0.861</v>
      </c>
      <c r="J9" s="508" t="s">
        <v>518</v>
      </c>
      <c r="K9" s="497">
        <v>1707683.19</v>
      </c>
      <c r="L9" s="557">
        <v>853841</v>
      </c>
      <c r="M9" s="558">
        <v>853842.19</v>
      </c>
      <c r="N9" s="559">
        <v>0.5</v>
      </c>
      <c r="O9" s="560"/>
      <c r="P9" s="560"/>
      <c r="Q9" s="560"/>
      <c r="R9" s="481">
        <v>853841</v>
      </c>
      <c r="S9" s="481"/>
      <c r="T9" s="561"/>
      <c r="U9" s="553"/>
      <c r="V9" s="553"/>
      <c r="W9" s="553"/>
      <c r="X9" s="553"/>
      <c r="Y9" s="156" t="b">
        <f t="shared" si="0"/>
        <v>1</v>
      </c>
      <c r="Z9" s="184">
        <f t="shared" si="1"/>
        <v>0.5</v>
      </c>
      <c r="AA9" s="156" t="b">
        <f t="shared" si="2"/>
        <v>1</v>
      </c>
      <c r="AB9" s="185" t="b">
        <f t="shared" si="3"/>
        <v>1</v>
      </c>
    </row>
    <row r="10" spans="1:28" s="157" customFormat="1" ht="38.25" customHeight="1">
      <c r="A10" s="490">
        <v>8</v>
      </c>
      <c r="B10" s="477" t="s">
        <v>443</v>
      </c>
      <c r="C10" s="455" t="s">
        <v>313</v>
      </c>
      <c r="D10" s="477" t="s">
        <v>224</v>
      </c>
      <c r="E10" s="486">
        <v>1205023</v>
      </c>
      <c r="F10" s="554" t="s">
        <v>154</v>
      </c>
      <c r="G10" s="487" t="s">
        <v>528</v>
      </c>
      <c r="H10" s="501" t="s">
        <v>77</v>
      </c>
      <c r="I10" s="502">
        <v>0.194</v>
      </c>
      <c r="J10" s="369" t="s">
        <v>910</v>
      </c>
      <c r="K10" s="460">
        <v>321527.23</v>
      </c>
      <c r="L10" s="546">
        <v>208992</v>
      </c>
      <c r="M10" s="548">
        <v>112535.22999999998</v>
      </c>
      <c r="N10" s="555">
        <v>0.65</v>
      </c>
      <c r="O10" s="469"/>
      <c r="P10" s="469"/>
      <c r="Q10" s="469"/>
      <c r="R10" s="470">
        <v>91931</v>
      </c>
      <c r="S10" s="470">
        <v>117061</v>
      </c>
      <c r="T10" s="556"/>
      <c r="U10" s="530"/>
      <c r="V10" s="530"/>
      <c r="W10" s="530"/>
      <c r="X10" s="530"/>
      <c r="Y10" s="156" t="b">
        <f>L10=SUM(O10:X10)</f>
        <v>1</v>
      </c>
      <c r="Z10" s="184">
        <f>ROUND(L10/K10,4)</f>
        <v>0.65</v>
      </c>
      <c r="AA10" s="156" t="b">
        <f>Z10=N10</f>
        <v>1</v>
      </c>
      <c r="AB10" s="185" t="b">
        <f>K10=L10+M10</f>
        <v>1</v>
      </c>
    </row>
    <row r="11" spans="1:28" s="179" customFormat="1" ht="60">
      <c r="A11" s="490">
        <v>9</v>
      </c>
      <c r="B11" s="327" t="s">
        <v>316</v>
      </c>
      <c r="C11" s="492" t="s">
        <v>314</v>
      </c>
      <c r="D11" s="327" t="s">
        <v>289</v>
      </c>
      <c r="E11" s="574">
        <v>1211112</v>
      </c>
      <c r="F11" s="328" t="s">
        <v>128</v>
      </c>
      <c r="G11" s="329" t="s">
        <v>324</v>
      </c>
      <c r="H11" s="330" t="s">
        <v>74</v>
      </c>
      <c r="I11" s="331">
        <v>0.052</v>
      </c>
      <c r="J11" s="327" t="s">
        <v>305</v>
      </c>
      <c r="K11" s="497">
        <v>758428.93</v>
      </c>
      <c r="L11" s="557">
        <v>492978</v>
      </c>
      <c r="M11" s="558">
        <v>265450.93000000005</v>
      </c>
      <c r="N11" s="559">
        <v>0.65</v>
      </c>
      <c r="O11" s="560"/>
      <c r="P11" s="560"/>
      <c r="Q11" s="560"/>
      <c r="R11" s="481">
        <v>492978</v>
      </c>
      <c r="S11" s="481"/>
      <c r="T11" s="561"/>
      <c r="U11" s="553"/>
      <c r="V11" s="553"/>
      <c r="W11" s="553"/>
      <c r="X11" s="553"/>
      <c r="Y11" s="156" t="b">
        <f t="shared" si="0"/>
        <v>1</v>
      </c>
      <c r="Z11" s="184">
        <f t="shared" si="1"/>
        <v>0.65</v>
      </c>
      <c r="AA11" s="156" t="b">
        <f t="shared" si="2"/>
        <v>1</v>
      </c>
      <c r="AB11" s="185" t="b">
        <f t="shared" si="3"/>
        <v>1</v>
      </c>
    </row>
    <row r="12" spans="1:28" s="179" customFormat="1" ht="45">
      <c r="A12" s="490">
        <v>10</v>
      </c>
      <c r="B12" s="327" t="s">
        <v>448</v>
      </c>
      <c r="C12" s="492" t="s">
        <v>314</v>
      </c>
      <c r="D12" s="327" t="s">
        <v>194</v>
      </c>
      <c r="E12" s="322">
        <v>1205042</v>
      </c>
      <c r="F12" s="328" t="s">
        <v>154</v>
      </c>
      <c r="G12" s="329" t="s">
        <v>534</v>
      </c>
      <c r="H12" s="330" t="s">
        <v>77</v>
      </c>
      <c r="I12" s="331">
        <v>0.522</v>
      </c>
      <c r="J12" s="508" t="s">
        <v>535</v>
      </c>
      <c r="K12" s="497">
        <v>519807.32</v>
      </c>
      <c r="L12" s="557">
        <v>337874</v>
      </c>
      <c r="M12" s="558">
        <v>181933.32</v>
      </c>
      <c r="N12" s="559">
        <v>0.65</v>
      </c>
      <c r="O12" s="560"/>
      <c r="P12" s="560"/>
      <c r="Q12" s="560"/>
      <c r="R12" s="481">
        <v>337874</v>
      </c>
      <c r="S12" s="481"/>
      <c r="T12" s="552"/>
      <c r="U12" s="553"/>
      <c r="V12" s="553"/>
      <c r="W12" s="553"/>
      <c r="X12" s="553"/>
      <c r="Y12" s="156" t="b">
        <f t="shared" si="0"/>
        <v>1</v>
      </c>
      <c r="Z12" s="184">
        <f t="shared" si="1"/>
        <v>0.65</v>
      </c>
      <c r="AA12" s="156" t="b">
        <f t="shared" si="2"/>
        <v>1</v>
      </c>
      <c r="AB12" s="185" t="b">
        <f t="shared" si="3"/>
        <v>1</v>
      </c>
    </row>
    <row r="13" spans="1:28" s="157" customFormat="1" ht="45">
      <c r="A13" s="490">
        <v>11</v>
      </c>
      <c r="B13" s="477" t="s">
        <v>396</v>
      </c>
      <c r="C13" s="455" t="s">
        <v>313</v>
      </c>
      <c r="D13" s="477" t="s">
        <v>170</v>
      </c>
      <c r="E13" s="486">
        <v>1212053</v>
      </c>
      <c r="F13" s="554" t="s">
        <v>167</v>
      </c>
      <c r="G13" s="487" t="s">
        <v>474</v>
      </c>
      <c r="H13" s="501" t="s">
        <v>72</v>
      </c>
      <c r="I13" s="502">
        <v>0.31105</v>
      </c>
      <c r="J13" s="369" t="s">
        <v>975</v>
      </c>
      <c r="K13" s="460">
        <v>1798222.8</v>
      </c>
      <c r="L13" s="546">
        <v>1078933</v>
      </c>
      <c r="M13" s="548">
        <v>719289.8</v>
      </c>
      <c r="N13" s="555">
        <v>0.6</v>
      </c>
      <c r="O13" s="469"/>
      <c r="P13" s="469"/>
      <c r="Q13" s="469"/>
      <c r="R13" s="470">
        <v>500000</v>
      </c>
      <c r="S13" s="470">
        <v>578933</v>
      </c>
      <c r="T13" s="556"/>
      <c r="U13" s="515"/>
      <c r="V13" s="579"/>
      <c r="W13" s="579"/>
      <c r="X13" s="579"/>
      <c r="Y13" s="156" t="b">
        <f t="shared" si="0"/>
        <v>1</v>
      </c>
      <c r="Z13" s="184">
        <f t="shared" si="1"/>
        <v>0.6</v>
      </c>
      <c r="AA13" s="156" t="b">
        <f t="shared" si="2"/>
        <v>1</v>
      </c>
      <c r="AB13" s="185" t="b">
        <f t="shared" si="3"/>
        <v>1</v>
      </c>
    </row>
    <row r="14" spans="1:28" s="179" customFormat="1" ht="45">
      <c r="A14" s="490">
        <v>12</v>
      </c>
      <c r="B14" s="327" t="s">
        <v>401</v>
      </c>
      <c r="C14" s="492" t="s">
        <v>314</v>
      </c>
      <c r="D14" s="327" t="s">
        <v>65</v>
      </c>
      <c r="E14" s="322">
        <v>1262000</v>
      </c>
      <c r="F14" s="328" t="s">
        <v>162</v>
      </c>
      <c r="G14" s="329" t="s">
        <v>480</v>
      </c>
      <c r="H14" s="330" t="s">
        <v>74</v>
      </c>
      <c r="I14" s="331">
        <v>0.451</v>
      </c>
      <c r="J14" s="508" t="s">
        <v>481</v>
      </c>
      <c r="K14" s="497">
        <v>2874254.46</v>
      </c>
      <c r="L14" s="557">
        <v>1437127</v>
      </c>
      <c r="M14" s="558">
        <v>1437127.46</v>
      </c>
      <c r="N14" s="559">
        <v>0.5</v>
      </c>
      <c r="O14" s="560"/>
      <c r="P14" s="560"/>
      <c r="Q14" s="560"/>
      <c r="R14" s="481">
        <v>1437127</v>
      </c>
      <c r="S14" s="481"/>
      <c r="T14" s="561"/>
      <c r="U14" s="553"/>
      <c r="V14" s="553"/>
      <c r="W14" s="553"/>
      <c r="X14" s="553"/>
      <c r="Y14" s="156" t="b">
        <f t="shared" si="0"/>
        <v>1</v>
      </c>
      <c r="Z14" s="184">
        <f t="shared" si="1"/>
        <v>0.5</v>
      </c>
      <c r="AA14" s="156" t="b">
        <f t="shared" si="2"/>
        <v>1</v>
      </c>
      <c r="AB14" s="185" t="b">
        <f t="shared" si="3"/>
        <v>1</v>
      </c>
    </row>
    <row r="15" spans="1:28" s="157" customFormat="1" ht="90">
      <c r="A15" s="490">
        <v>13</v>
      </c>
      <c r="B15" s="477" t="s">
        <v>545</v>
      </c>
      <c r="C15" s="512" t="s">
        <v>313</v>
      </c>
      <c r="D15" s="477" t="s">
        <v>155</v>
      </c>
      <c r="E15" s="486">
        <v>1213011</v>
      </c>
      <c r="F15" s="554" t="s">
        <v>142</v>
      </c>
      <c r="G15" s="487" t="s">
        <v>568</v>
      </c>
      <c r="H15" s="501" t="s">
        <v>72</v>
      </c>
      <c r="I15" s="502">
        <v>0.4651</v>
      </c>
      <c r="J15" s="369" t="s">
        <v>947</v>
      </c>
      <c r="K15" s="471">
        <v>2439891.68</v>
      </c>
      <c r="L15" s="471">
        <v>1219945</v>
      </c>
      <c r="M15" s="500">
        <v>1219946.6800000002</v>
      </c>
      <c r="N15" s="555">
        <v>0.5</v>
      </c>
      <c r="O15" s="579"/>
      <c r="P15" s="579"/>
      <c r="Q15" s="579"/>
      <c r="R15" s="515">
        <v>482659</v>
      </c>
      <c r="S15" s="515">
        <v>237286</v>
      </c>
      <c r="T15" s="515">
        <v>500000</v>
      </c>
      <c r="U15" s="515"/>
      <c r="V15" s="579"/>
      <c r="W15" s="579"/>
      <c r="X15" s="579"/>
      <c r="Y15" s="156" t="b">
        <f t="shared" si="0"/>
        <v>1</v>
      </c>
      <c r="Z15" s="184">
        <f t="shared" si="1"/>
        <v>0.5</v>
      </c>
      <c r="AA15" s="156" t="b">
        <f t="shared" si="2"/>
        <v>1</v>
      </c>
      <c r="AB15" s="185" t="b">
        <f t="shared" si="3"/>
        <v>1</v>
      </c>
    </row>
    <row r="16" spans="1:28" s="179" customFormat="1" ht="45">
      <c r="A16" s="490">
        <v>14</v>
      </c>
      <c r="B16" s="327" t="s">
        <v>546</v>
      </c>
      <c r="C16" s="323" t="s">
        <v>314</v>
      </c>
      <c r="D16" s="327" t="s">
        <v>569</v>
      </c>
      <c r="E16" s="322">
        <v>1207021</v>
      </c>
      <c r="F16" s="328" t="s">
        <v>298</v>
      </c>
      <c r="G16" s="329" t="s">
        <v>570</v>
      </c>
      <c r="H16" s="330" t="s">
        <v>72</v>
      </c>
      <c r="I16" s="331">
        <v>0.02</v>
      </c>
      <c r="J16" s="508" t="s">
        <v>301</v>
      </c>
      <c r="K16" s="499">
        <v>218121.84</v>
      </c>
      <c r="L16" s="499">
        <v>130873</v>
      </c>
      <c r="M16" s="562">
        <v>87248.84</v>
      </c>
      <c r="N16" s="559">
        <v>0.6</v>
      </c>
      <c r="O16" s="320"/>
      <c r="P16" s="320"/>
      <c r="Q16" s="320"/>
      <c r="R16" s="321">
        <v>130873</v>
      </c>
      <c r="S16" s="321"/>
      <c r="T16" s="321"/>
      <c r="U16" s="321"/>
      <c r="V16" s="320"/>
      <c r="W16" s="320"/>
      <c r="X16" s="320"/>
      <c r="Y16" s="156" t="b">
        <f t="shared" si="0"/>
        <v>1</v>
      </c>
      <c r="Z16" s="184">
        <f t="shared" si="1"/>
        <v>0.6</v>
      </c>
      <c r="AA16" s="156" t="b">
        <f t="shared" si="2"/>
        <v>1</v>
      </c>
      <c r="AB16" s="185" t="b">
        <f t="shared" si="3"/>
        <v>1</v>
      </c>
    </row>
    <row r="17" spans="1:28" s="179" customFormat="1" ht="75">
      <c r="A17" s="490">
        <v>15</v>
      </c>
      <c r="B17" s="327" t="s">
        <v>547</v>
      </c>
      <c r="C17" s="323" t="s">
        <v>314</v>
      </c>
      <c r="D17" s="327" t="s">
        <v>571</v>
      </c>
      <c r="E17" s="322">
        <v>1209073</v>
      </c>
      <c r="F17" s="328" t="s">
        <v>126</v>
      </c>
      <c r="G17" s="329" t="s">
        <v>572</v>
      </c>
      <c r="H17" s="330" t="s">
        <v>74</v>
      </c>
      <c r="I17" s="331">
        <v>0.764</v>
      </c>
      <c r="J17" s="508" t="s">
        <v>312</v>
      </c>
      <c r="K17" s="499">
        <v>916044.25</v>
      </c>
      <c r="L17" s="499">
        <v>595428</v>
      </c>
      <c r="M17" s="562">
        <v>320616.25</v>
      </c>
      <c r="N17" s="559">
        <v>0.65</v>
      </c>
      <c r="O17" s="320"/>
      <c r="P17" s="320"/>
      <c r="Q17" s="320"/>
      <c r="R17" s="321">
        <v>595428</v>
      </c>
      <c r="S17" s="321"/>
      <c r="T17" s="321"/>
      <c r="U17" s="321"/>
      <c r="V17" s="320"/>
      <c r="W17" s="320"/>
      <c r="X17" s="320"/>
      <c r="Y17" s="156" t="b">
        <f t="shared" si="0"/>
        <v>1</v>
      </c>
      <c r="Z17" s="184">
        <f t="shared" si="1"/>
        <v>0.65</v>
      </c>
      <c r="AA17" s="156" t="b">
        <f t="shared" si="2"/>
        <v>1</v>
      </c>
      <c r="AB17" s="185" t="b">
        <f t="shared" si="3"/>
        <v>1</v>
      </c>
    </row>
    <row r="18" spans="1:28" s="179" customFormat="1" ht="45">
      <c r="A18" s="490">
        <v>16</v>
      </c>
      <c r="B18" s="327" t="s">
        <v>548</v>
      </c>
      <c r="C18" s="323" t="s">
        <v>314</v>
      </c>
      <c r="D18" s="327" t="s">
        <v>569</v>
      </c>
      <c r="E18" s="322">
        <v>1207021</v>
      </c>
      <c r="F18" s="328" t="s">
        <v>298</v>
      </c>
      <c r="G18" s="329" t="s">
        <v>573</v>
      </c>
      <c r="H18" s="330" t="s">
        <v>74</v>
      </c>
      <c r="I18" s="331">
        <v>0.456</v>
      </c>
      <c r="J18" s="508" t="s">
        <v>301</v>
      </c>
      <c r="K18" s="499">
        <v>1730178.31</v>
      </c>
      <c r="L18" s="499">
        <v>1038106</v>
      </c>
      <c r="M18" s="562">
        <v>692072.31</v>
      </c>
      <c r="N18" s="559">
        <v>0.6</v>
      </c>
      <c r="O18" s="320"/>
      <c r="P18" s="320"/>
      <c r="Q18" s="320"/>
      <c r="R18" s="321">
        <v>1038106</v>
      </c>
      <c r="S18" s="321"/>
      <c r="T18" s="321"/>
      <c r="U18" s="321"/>
      <c r="V18" s="320"/>
      <c r="W18" s="320"/>
      <c r="X18" s="320"/>
      <c r="Y18" s="156" t="b">
        <f t="shared" si="0"/>
        <v>1</v>
      </c>
      <c r="Z18" s="184">
        <f t="shared" si="1"/>
        <v>0.6</v>
      </c>
      <c r="AA18" s="156" t="b">
        <f t="shared" si="2"/>
        <v>1</v>
      </c>
      <c r="AB18" s="185" t="b">
        <f t="shared" si="3"/>
        <v>1</v>
      </c>
    </row>
    <row r="19" spans="1:28" s="179" customFormat="1" ht="45">
      <c r="A19" s="490">
        <v>17</v>
      </c>
      <c r="B19" s="327" t="s">
        <v>549</v>
      </c>
      <c r="C19" s="323" t="s">
        <v>314</v>
      </c>
      <c r="D19" s="327" t="s">
        <v>327</v>
      </c>
      <c r="E19" s="322">
        <v>1216072</v>
      </c>
      <c r="F19" s="328" t="s">
        <v>161</v>
      </c>
      <c r="G19" s="329" t="s">
        <v>574</v>
      </c>
      <c r="H19" s="330" t="s">
        <v>74</v>
      </c>
      <c r="I19" s="331">
        <v>0.263</v>
      </c>
      <c r="J19" s="508" t="s">
        <v>329</v>
      </c>
      <c r="K19" s="499">
        <v>178816.4</v>
      </c>
      <c r="L19" s="499">
        <v>116230</v>
      </c>
      <c r="M19" s="562">
        <v>62586.399999999994</v>
      </c>
      <c r="N19" s="559">
        <v>0.65</v>
      </c>
      <c r="O19" s="320"/>
      <c r="P19" s="320"/>
      <c r="Q19" s="320"/>
      <c r="R19" s="321">
        <v>116230</v>
      </c>
      <c r="S19" s="321"/>
      <c r="T19" s="321"/>
      <c r="U19" s="321"/>
      <c r="V19" s="320"/>
      <c r="W19" s="320"/>
      <c r="X19" s="320"/>
      <c r="Y19" s="156" t="b">
        <f t="shared" si="0"/>
        <v>1</v>
      </c>
      <c r="Z19" s="184">
        <f t="shared" si="1"/>
        <v>0.65</v>
      </c>
      <c r="AA19" s="156" t="b">
        <f t="shared" si="2"/>
        <v>1</v>
      </c>
      <c r="AB19" s="185" t="b">
        <f t="shared" si="3"/>
        <v>1</v>
      </c>
    </row>
    <row r="20" spans="1:28" s="179" customFormat="1" ht="60">
      <c r="A20" s="490">
        <v>18</v>
      </c>
      <c r="B20" s="327" t="s">
        <v>550</v>
      </c>
      <c r="C20" s="323" t="s">
        <v>314</v>
      </c>
      <c r="D20" s="327" t="s">
        <v>575</v>
      </c>
      <c r="E20" s="322">
        <v>1215063</v>
      </c>
      <c r="F20" s="328" t="s">
        <v>576</v>
      </c>
      <c r="G20" s="329" t="s">
        <v>577</v>
      </c>
      <c r="H20" s="330" t="s">
        <v>74</v>
      </c>
      <c r="I20" s="331">
        <v>0.13</v>
      </c>
      <c r="J20" s="508" t="s">
        <v>945</v>
      </c>
      <c r="K20" s="499">
        <v>617350.03</v>
      </c>
      <c r="L20" s="499">
        <v>370410</v>
      </c>
      <c r="M20" s="562">
        <v>246940.03000000003</v>
      </c>
      <c r="N20" s="559">
        <v>0.6</v>
      </c>
      <c r="O20" s="320"/>
      <c r="P20" s="320"/>
      <c r="Q20" s="320"/>
      <c r="R20" s="321">
        <v>370410</v>
      </c>
      <c r="S20" s="321"/>
      <c r="T20" s="321"/>
      <c r="U20" s="321"/>
      <c r="V20" s="320"/>
      <c r="W20" s="320"/>
      <c r="X20" s="320"/>
      <c r="Y20" s="156" t="b">
        <f t="shared" si="0"/>
        <v>1</v>
      </c>
      <c r="Z20" s="184">
        <f t="shared" si="1"/>
        <v>0.6</v>
      </c>
      <c r="AA20" s="156" t="b">
        <f t="shared" si="2"/>
        <v>1</v>
      </c>
      <c r="AB20" s="185" t="b">
        <f t="shared" si="3"/>
        <v>1</v>
      </c>
    </row>
    <row r="21" spans="1:28" s="179" customFormat="1" ht="75">
      <c r="A21" s="490">
        <v>19</v>
      </c>
      <c r="B21" s="327" t="s">
        <v>551</v>
      </c>
      <c r="C21" s="323" t="s">
        <v>314</v>
      </c>
      <c r="D21" s="327" t="s">
        <v>292</v>
      </c>
      <c r="E21" s="574">
        <v>1210113</v>
      </c>
      <c r="F21" s="328" t="s">
        <v>162</v>
      </c>
      <c r="G21" s="329" t="s">
        <v>578</v>
      </c>
      <c r="H21" s="330" t="s">
        <v>77</v>
      </c>
      <c r="I21" s="331">
        <v>3.012</v>
      </c>
      <c r="J21" s="508" t="s">
        <v>310</v>
      </c>
      <c r="K21" s="499">
        <v>1948748.57</v>
      </c>
      <c r="L21" s="499">
        <v>1169249</v>
      </c>
      <c r="M21" s="562">
        <v>779499.5700000001</v>
      </c>
      <c r="N21" s="559">
        <v>0.6</v>
      </c>
      <c r="O21" s="320"/>
      <c r="P21" s="320"/>
      <c r="Q21" s="320"/>
      <c r="R21" s="321">
        <v>1169249</v>
      </c>
      <c r="S21" s="321"/>
      <c r="T21" s="321"/>
      <c r="U21" s="321"/>
      <c r="V21" s="320"/>
      <c r="W21" s="320"/>
      <c r="X21" s="320"/>
      <c r="Y21" s="156" t="b">
        <f t="shared" si="0"/>
        <v>1</v>
      </c>
      <c r="Z21" s="184">
        <f t="shared" si="1"/>
        <v>0.6</v>
      </c>
      <c r="AA21" s="156" t="b">
        <f t="shared" si="2"/>
        <v>1</v>
      </c>
      <c r="AB21" s="185" t="b">
        <f t="shared" si="3"/>
        <v>1</v>
      </c>
    </row>
    <row r="22" spans="1:28" s="179" customFormat="1" ht="45">
      <c r="A22" s="490">
        <v>20</v>
      </c>
      <c r="B22" s="327" t="s">
        <v>552</v>
      </c>
      <c r="C22" s="323" t="s">
        <v>314</v>
      </c>
      <c r="D22" s="327" t="s">
        <v>579</v>
      </c>
      <c r="E22" s="322">
        <v>1209022</v>
      </c>
      <c r="F22" s="328" t="s">
        <v>126</v>
      </c>
      <c r="G22" s="329" t="s">
        <v>580</v>
      </c>
      <c r="H22" s="330" t="s">
        <v>77</v>
      </c>
      <c r="I22" s="331">
        <v>0.94</v>
      </c>
      <c r="J22" s="508" t="s">
        <v>951</v>
      </c>
      <c r="K22" s="499">
        <v>965521.83</v>
      </c>
      <c r="L22" s="499">
        <v>627589</v>
      </c>
      <c r="M22" s="562">
        <v>337932.82999999996</v>
      </c>
      <c r="N22" s="559">
        <v>0.65</v>
      </c>
      <c r="O22" s="320"/>
      <c r="P22" s="320"/>
      <c r="Q22" s="320"/>
      <c r="R22" s="321">
        <v>627589</v>
      </c>
      <c r="S22" s="321"/>
      <c r="T22" s="321"/>
      <c r="U22" s="321"/>
      <c r="V22" s="320"/>
      <c r="W22" s="320"/>
      <c r="X22" s="320"/>
      <c r="Y22" s="156" t="b">
        <f t="shared" si="0"/>
        <v>1</v>
      </c>
      <c r="Z22" s="184">
        <f t="shared" si="1"/>
        <v>0.65</v>
      </c>
      <c r="AA22" s="156" t="b">
        <f t="shared" si="2"/>
        <v>1</v>
      </c>
      <c r="AB22" s="185" t="b">
        <f t="shared" si="3"/>
        <v>1</v>
      </c>
    </row>
    <row r="23" spans="1:28" s="179" customFormat="1" ht="45">
      <c r="A23" s="490">
        <v>21</v>
      </c>
      <c r="B23" s="327" t="s">
        <v>553</v>
      </c>
      <c r="C23" s="323" t="s">
        <v>314</v>
      </c>
      <c r="D23" s="327" t="s">
        <v>582</v>
      </c>
      <c r="E23" s="322">
        <v>1210163</v>
      </c>
      <c r="F23" s="328" t="s">
        <v>162</v>
      </c>
      <c r="G23" s="329" t="s">
        <v>583</v>
      </c>
      <c r="H23" s="330" t="s">
        <v>77</v>
      </c>
      <c r="I23" s="331">
        <v>0.934</v>
      </c>
      <c r="J23" s="508" t="s">
        <v>950</v>
      </c>
      <c r="K23" s="499">
        <v>513331.4</v>
      </c>
      <c r="L23" s="499">
        <v>333665</v>
      </c>
      <c r="M23" s="562">
        <v>179666.40000000002</v>
      </c>
      <c r="N23" s="559">
        <v>0.65</v>
      </c>
      <c r="O23" s="320"/>
      <c r="P23" s="320"/>
      <c r="Q23" s="320"/>
      <c r="R23" s="321">
        <v>333665</v>
      </c>
      <c r="S23" s="321"/>
      <c r="T23" s="321"/>
      <c r="U23" s="321"/>
      <c r="V23" s="320"/>
      <c r="W23" s="320"/>
      <c r="X23" s="320"/>
      <c r="Y23" s="156" t="b">
        <f t="shared" si="0"/>
        <v>1</v>
      </c>
      <c r="Z23" s="184">
        <f t="shared" si="1"/>
        <v>0.65</v>
      </c>
      <c r="AA23" s="156" t="b">
        <f t="shared" si="2"/>
        <v>1</v>
      </c>
      <c r="AB23" s="185" t="b">
        <f t="shared" si="3"/>
        <v>1</v>
      </c>
    </row>
    <row r="24" spans="1:28" s="179" customFormat="1" ht="75">
      <c r="A24" s="490">
        <v>22</v>
      </c>
      <c r="B24" s="327" t="s">
        <v>554</v>
      </c>
      <c r="C24" s="323" t="s">
        <v>314</v>
      </c>
      <c r="D24" s="327" t="s">
        <v>163</v>
      </c>
      <c r="E24" s="322">
        <v>1218033</v>
      </c>
      <c r="F24" s="328" t="s">
        <v>147</v>
      </c>
      <c r="G24" s="329" t="s">
        <v>584</v>
      </c>
      <c r="H24" s="330" t="s">
        <v>77</v>
      </c>
      <c r="I24" s="331">
        <v>0.6345</v>
      </c>
      <c r="J24" s="327" t="s">
        <v>946</v>
      </c>
      <c r="K24" s="499">
        <v>1387942.86</v>
      </c>
      <c r="L24" s="499">
        <v>832765</v>
      </c>
      <c r="M24" s="562">
        <v>555177.8600000001</v>
      </c>
      <c r="N24" s="559">
        <v>0.6</v>
      </c>
      <c r="O24" s="320"/>
      <c r="P24" s="320"/>
      <c r="Q24" s="320"/>
      <c r="R24" s="321">
        <v>832765</v>
      </c>
      <c r="S24" s="321"/>
      <c r="T24" s="321"/>
      <c r="U24" s="321"/>
      <c r="V24" s="320"/>
      <c r="W24" s="320"/>
      <c r="X24" s="320"/>
      <c r="Y24" s="156" t="b">
        <f t="shared" si="0"/>
        <v>1</v>
      </c>
      <c r="Z24" s="184">
        <f t="shared" si="1"/>
        <v>0.6</v>
      </c>
      <c r="AA24" s="156" t="b">
        <f t="shared" si="2"/>
        <v>1</v>
      </c>
      <c r="AB24" s="185" t="b">
        <f t="shared" si="3"/>
        <v>1</v>
      </c>
    </row>
    <row r="25" spans="1:28" s="179" customFormat="1" ht="60">
      <c r="A25" s="490">
        <v>23</v>
      </c>
      <c r="B25" s="327" t="s">
        <v>555</v>
      </c>
      <c r="C25" s="323" t="s">
        <v>314</v>
      </c>
      <c r="D25" s="327" t="s">
        <v>537</v>
      </c>
      <c r="E25" s="322">
        <v>1206022</v>
      </c>
      <c r="F25" s="328" t="s">
        <v>130</v>
      </c>
      <c r="G25" s="329" t="s">
        <v>585</v>
      </c>
      <c r="H25" s="330" t="s">
        <v>77</v>
      </c>
      <c r="I25" s="331">
        <v>0.3701</v>
      </c>
      <c r="J25" s="327" t="s">
        <v>539</v>
      </c>
      <c r="K25" s="499">
        <v>277384.46</v>
      </c>
      <c r="L25" s="499">
        <v>180299</v>
      </c>
      <c r="M25" s="562">
        <v>97085.46000000002</v>
      </c>
      <c r="N25" s="559">
        <v>0.65</v>
      </c>
      <c r="O25" s="320"/>
      <c r="P25" s="320"/>
      <c r="Q25" s="320"/>
      <c r="R25" s="321">
        <v>180299</v>
      </c>
      <c r="S25" s="321"/>
      <c r="T25" s="321"/>
      <c r="U25" s="321"/>
      <c r="V25" s="320"/>
      <c r="W25" s="320"/>
      <c r="X25" s="320"/>
      <c r="Y25" s="156" t="b">
        <f t="shared" si="0"/>
        <v>1</v>
      </c>
      <c r="Z25" s="184">
        <f t="shared" si="1"/>
        <v>0.65</v>
      </c>
      <c r="AA25" s="156" t="b">
        <f t="shared" si="2"/>
        <v>1</v>
      </c>
      <c r="AB25" s="185" t="b">
        <f t="shared" si="3"/>
        <v>1</v>
      </c>
    </row>
    <row r="26" spans="1:28" s="179" customFormat="1" ht="45">
      <c r="A26" s="490">
        <v>24</v>
      </c>
      <c r="B26" s="327" t="s">
        <v>556</v>
      </c>
      <c r="C26" s="323" t="s">
        <v>314</v>
      </c>
      <c r="D26" s="327" t="s">
        <v>586</v>
      </c>
      <c r="E26" s="322">
        <v>1201022</v>
      </c>
      <c r="F26" s="328" t="s">
        <v>176</v>
      </c>
      <c r="G26" s="329" t="s">
        <v>587</v>
      </c>
      <c r="H26" s="330" t="s">
        <v>77</v>
      </c>
      <c r="I26" s="331">
        <v>0.36</v>
      </c>
      <c r="J26" s="327" t="s">
        <v>588</v>
      </c>
      <c r="K26" s="499">
        <v>438497.83</v>
      </c>
      <c r="L26" s="499">
        <v>285023</v>
      </c>
      <c r="M26" s="562">
        <v>153474.83000000002</v>
      </c>
      <c r="N26" s="559">
        <v>0.65</v>
      </c>
      <c r="O26" s="320"/>
      <c r="P26" s="320"/>
      <c r="Q26" s="320"/>
      <c r="R26" s="321">
        <v>285023</v>
      </c>
      <c r="S26" s="321"/>
      <c r="T26" s="321"/>
      <c r="U26" s="321"/>
      <c r="V26" s="320"/>
      <c r="W26" s="320"/>
      <c r="X26" s="320"/>
      <c r="Y26" s="156" t="b">
        <f t="shared" si="0"/>
        <v>1</v>
      </c>
      <c r="Z26" s="184">
        <f t="shared" si="1"/>
        <v>0.65</v>
      </c>
      <c r="AA26" s="156" t="b">
        <f t="shared" si="2"/>
        <v>1</v>
      </c>
      <c r="AB26" s="185" t="b">
        <f t="shared" si="3"/>
        <v>1</v>
      </c>
    </row>
    <row r="27" spans="1:28" s="179" customFormat="1" ht="45">
      <c r="A27" s="490">
        <v>25</v>
      </c>
      <c r="B27" s="327" t="s">
        <v>557</v>
      </c>
      <c r="C27" s="323" t="s">
        <v>314</v>
      </c>
      <c r="D27" s="327" t="s">
        <v>293</v>
      </c>
      <c r="E27" s="322">
        <v>1211123</v>
      </c>
      <c r="F27" s="328" t="s">
        <v>128</v>
      </c>
      <c r="G27" s="329" t="s">
        <v>589</v>
      </c>
      <c r="H27" s="330" t="s">
        <v>77</v>
      </c>
      <c r="I27" s="331">
        <v>0.228</v>
      </c>
      <c r="J27" s="508" t="s">
        <v>311</v>
      </c>
      <c r="K27" s="499">
        <v>837460.41</v>
      </c>
      <c r="L27" s="499">
        <v>502476</v>
      </c>
      <c r="M27" s="562">
        <v>334984.41000000003</v>
      </c>
      <c r="N27" s="559">
        <v>0.6</v>
      </c>
      <c r="O27" s="320"/>
      <c r="P27" s="320"/>
      <c r="Q27" s="320"/>
      <c r="R27" s="321">
        <v>502476</v>
      </c>
      <c r="S27" s="321"/>
      <c r="T27" s="321"/>
      <c r="U27" s="321"/>
      <c r="V27" s="320"/>
      <c r="W27" s="320"/>
      <c r="X27" s="320"/>
      <c r="Y27" s="156" t="b">
        <f t="shared" si="0"/>
        <v>1</v>
      </c>
      <c r="Z27" s="184">
        <f t="shared" si="1"/>
        <v>0.6</v>
      </c>
      <c r="AA27" s="156" t="b">
        <f t="shared" si="2"/>
        <v>1</v>
      </c>
      <c r="AB27" s="185" t="b">
        <f t="shared" si="3"/>
        <v>1</v>
      </c>
    </row>
    <row r="28" spans="1:28" s="179" customFormat="1" ht="75">
      <c r="A28" s="490">
        <v>26</v>
      </c>
      <c r="B28" s="327" t="s">
        <v>558</v>
      </c>
      <c r="C28" s="323" t="s">
        <v>314</v>
      </c>
      <c r="D28" s="327" t="s">
        <v>134</v>
      </c>
      <c r="E28" s="322">
        <v>1211011</v>
      </c>
      <c r="F28" s="328" t="s">
        <v>128</v>
      </c>
      <c r="G28" s="329" t="s">
        <v>590</v>
      </c>
      <c r="H28" s="330" t="s">
        <v>77</v>
      </c>
      <c r="I28" s="331">
        <v>0.19065</v>
      </c>
      <c r="J28" s="508" t="s">
        <v>591</v>
      </c>
      <c r="K28" s="499">
        <v>1039312.28</v>
      </c>
      <c r="L28" s="499">
        <v>623587</v>
      </c>
      <c r="M28" s="562">
        <v>415725.28</v>
      </c>
      <c r="N28" s="559">
        <v>0.6</v>
      </c>
      <c r="O28" s="320"/>
      <c r="P28" s="320"/>
      <c r="Q28" s="320"/>
      <c r="R28" s="321">
        <v>623587</v>
      </c>
      <c r="S28" s="321"/>
      <c r="T28" s="321"/>
      <c r="U28" s="321"/>
      <c r="V28" s="320"/>
      <c r="W28" s="320"/>
      <c r="X28" s="320"/>
      <c r="Y28" s="156" t="b">
        <f t="shared" si="0"/>
        <v>1</v>
      </c>
      <c r="Z28" s="184">
        <f t="shared" si="1"/>
        <v>0.6</v>
      </c>
      <c r="AA28" s="156" t="b">
        <f t="shared" si="2"/>
        <v>1</v>
      </c>
      <c r="AB28" s="185" t="b">
        <f t="shared" si="3"/>
        <v>1</v>
      </c>
    </row>
    <row r="29" spans="1:28" s="179" customFormat="1" ht="45">
      <c r="A29" s="490">
        <v>27</v>
      </c>
      <c r="B29" s="327" t="s">
        <v>559</v>
      </c>
      <c r="C29" s="323" t="s">
        <v>314</v>
      </c>
      <c r="D29" s="327" t="s">
        <v>592</v>
      </c>
      <c r="E29" s="574">
        <v>1218102</v>
      </c>
      <c r="F29" s="328" t="s">
        <v>147</v>
      </c>
      <c r="G29" s="329" t="s">
        <v>593</v>
      </c>
      <c r="H29" s="330" t="s">
        <v>74</v>
      </c>
      <c r="I29" s="331">
        <v>0.445</v>
      </c>
      <c r="J29" s="508" t="s">
        <v>333</v>
      </c>
      <c r="K29" s="499">
        <v>3057050.48</v>
      </c>
      <c r="L29" s="499">
        <v>2139935</v>
      </c>
      <c r="M29" s="562">
        <v>917115.48</v>
      </c>
      <c r="N29" s="559">
        <v>0.7</v>
      </c>
      <c r="O29" s="320"/>
      <c r="P29" s="320"/>
      <c r="Q29" s="320"/>
      <c r="R29" s="321">
        <v>2139935</v>
      </c>
      <c r="S29" s="321"/>
      <c r="T29" s="321"/>
      <c r="U29" s="321"/>
      <c r="V29" s="320"/>
      <c r="W29" s="320"/>
      <c r="X29" s="320"/>
      <c r="Y29" s="156" t="b">
        <f t="shared" si="0"/>
        <v>1</v>
      </c>
      <c r="Z29" s="184">
        <f t="shared" si="1"/>
        <v>0.7</v>
      </c>
      <c r="AA29" s="156" t="b">
        <f t="shared" si="2"/>
        <v>1</v>
      </c>
      <c r="AB29" s="185" t="b">
        <f t="shared" si="3"/>
        <v>1</v>
      </c>
    </row>
    <row r="30" spans="1:28" s="179" customFormat="1" ht="45">
      <c r="A30" s="490">
        <v>28</v>
      </c>
      <c r="B30" s="327" t="s">
        <v>563</v>
      </c>
      <c r="C30" s="323" t="s">
        <v>314</v>
      </c>
      <c r="D30" s="327" t="s">
        <v>325</v>
      </c>
      <c r="E30" s="322">
        <v>1212042</v>
      </c>
      <c r="F30" s="328" t="s">
        <v>167</v>
      </c>
      <c r="G30" s="329" t="s">
        <v>602</v>
      </c>
      <c r="H30" s="330" t="s">
        <v>77</v>
      </c>
      <c r="I30" s="331">
        <v>0.777</v>
      </c>
      <c r="J30" s="508" t="s">
        <v>307</v>
      </c>
      <c r="K30" s="499">
        <v>325414.99</v>
      </c>
      <c r="L30" s="499">
        <v>162707</v>
      </c>
      <c r="M30" s="562">
        <v>162707.99</v>
      </c>
      <c r="N30" s="559">
        <v>0.5</v>
      </c>
      <c r="O30" s="320"/>
      <c r="P30" s="320"/>
      <c r="Q30" s="320"/>
      <c r="R30" s="321">
        <v>162707</v>
      </c>
      <c r="S30" s="321"/>
      <c r="T30" s="321"/>
      <c r="U30" s="321"/>
      <c r="V30" s="320"/>
      <c r="W30" s="320"/>
      <c r="X30" s="320"/>
      <c r="Y30" s="156" t="b">
        <f t="shared" si="0"/>
        <v>1</v>
      </c>
      <c r="Z30" s="184">
        <f t="shared" si="1"/>
        <v>0.5</v>
      </c>
      <c r="AA30" s="156" t="b">
        <f t="shared" si="2"/>
        <v>1</v>
      </c>
      <c r="AB30" s="185" t="b">
        <f t="shared" si="3"/>
        <v>1</v>
      </c>
    </row>
    <row r="31" spans="1:28" s="179" customFormat="1" ht="45">
      <c r="A31" s="490">
        <v>29</v>
      </c>
      <c r="B31" s="327" t="s">
        <v>564</v>
      </c>
      <c r="C31" s="323" t="s">
        <v>314</v>
      </c>
      <c r="D31" s="576" t="s">
        <v>603</v>
      </c>
      <c r="E31" s="322">
        <v>1211032</v>
      </c>
      <c r="F31" s="580" t="s">
        <v>128</v>
      </c>
      <c r="G31" s="329" t="s">
        <v>604</v>
      </c>
      <c r="H31" s="577" t="s">
        <v>77</v>
      </c>
      <c r="I31" s="578">
        <v>0.6</v>
      </c>
      <c r="J31" s="576" t="s">
        <v>605</v>
      </c>
      <c r="K31" s="499">
        <v>381496.96</v>
      </c>
      <c r="L31" s="499">
        <v>209823</v>
      </c>
      <c r="M31" s="562">
        <v>171673.96000000002</v>
      </c>
      <c r="N31" s="559">
        <v>0.55</v>
      </c>
      <c r="O31" s="320"/>
      <c r="P31" s="320"/>
      <c r="Q31" s="320"/>
      <c r="R31" s="321">
        <v>209823</v>
      </c>
      <c r="S31" s="321"/>
      <c r="T31" s="321"/>
      <c r="U31" s="321"/>
      <c r="V31" s="320"/>
      <c r="W31" s="320"/>
      <c r="X31" s="320"/>
      <c r="Y31" s="156" t="b">
        <f t="shared" si="0"/>
        <v>1</v>
      </c>
      <c r="Z31" s="184">
        <f t="shared" si="1"/>
        <v>0.55</v>
      </c>
      <c r="AA31" s="156" t="b">
        <f t="shared" si="2"/>
        <v>1</v>
      </c>
      <c r="AB31" s="185" t="b">
        <f t="shared" si="3"/>
        <v>1</v>
      </c>
    </row>
    <row r="32" spans="1:28" s="157" customFormat="1" ht="45">
      <c r="A32" s="490">
        <v>30</v>
      </c>
      <c r="B32" s="477" t="s">
        <v>606</v>
      </c>
      <c r="C32" s="512" t="s">
        <v>313</v>
      </c>
      <c r="D32" s="477" t="s">
        <v>175</v>
      </c>
      <c r="E32" s="486">
        <v>1201082</v>
      </c>
      <c r="F32" s="554" t="s">
        <v>176</v>
      </c>
      <c r="G32" s="487" t="s">
        <v>607</v>
      </c>
      <c r="H32" s="501" t="s">
        <v>77</v>
      </c>
      <c r="I32" s="502">
        <v>0.204</v>
      </c>
      <c r="J32" s="369" t="s">
        <v>601</v>
      </c>
      <c r="K32" s="471">
        <v>174400.62</v>
      </c>
      <c r="L32" s="471">
        <v>113360</v>
      </c>
      <c r="M32" s="500">
        <v>61040.619999999995</v>
      </c>
      <c r="N32" s="569">
        <v>0.65</v>
      </c>
      <c r="O32" s="579"/>
      <c r="P32" s="579"/>
      <c r="Q32" s="579"/>
      <c r="R32" s="515">
        <v>5000</v>
      </c>
      <c r="S32" s="515">
        <v>108360</v>
      </c>
      <c r="T32" s="515"/>
      <c r="U32" s="515"/>
      <c r="V32" s="579"/>
      <c r="W32" s="579"/>
      <c r="X32" s="579"/>
      <c r="Y32" s="156" t="b">
        <f>L32=SUM(O32:X32)</f>
        <v>1</v>
      </c>
      <c r="Z32" s="184">
        <f>ROUND(L32/K32,4)</f>
        <v>0.65</v>
      </c>
      <c r="AA32" s="156" t="b">
        <f>Z32=N32</f>
        <v>1</v>
      </c>
      <c r="AB32" s="185" t="b">
        <f>K32=L32+M32</f>
        <v>1</v>
      </c>
    </row>
    <row r="33" spans="1:28" s="179" customFormat="1" ht="60">
      <c r="A33" s="490">
        <v>31</v>
      </c>
      <c r="B33" s="327" t="s">
        <v>429</v>
      </c>
      <c r="C33" s="492" t="s">
        <v>314</v>
      </c>
      <c r="D33" s="327" t="s">
        <v>291</v>
      </c>
      <c r="E33" s="574">
        <v>1207042</v>
      </c>
      <c r="F33" s="328" t="s">
        <v>298</v>
      </c>
      <c r="G33" s="329" t="s">
        <v>511</v>
      </c>
      <c r="H33" s="330" t="s">
        <v>72</v>
      </c>
      <c r="I33" s="331">
        <v>1.07505</v>
      </c>
      <c r="J33" s="327" t="s">
        <v>309</v>
      </c>
      <c r="K33" s="497">
        <v>7321284.66</v>
      </c>
      <c r="L33" s="557">
        <v>4758835</v>
      </c>
      <c r="M33" s="558">
        <v>2562449.66</v>
      </c>
      <c r="N33" s="559">
        <v>0.65</v>
      </c>
      <c r="O33" s="560"/>
      <c r="P33" s="560"/>
      <c r="Q33" s="560"/>
      <c r="R33" s="481">
        <v>4758835</v>
      </c>
      <c r="S33" s="481"/>
      <c r="T33" s="561"/>
      <c r="U33" s="553"/>
      <c r="V33" s="553"/>
      <c r="W33" s="553"/>
      <c r="X33" s="553"/>
      <c r="Y33" s="156" t="b">
        <f t="shared" si="0"/>
        <v>1</v>
      </c>
      <c r="Z33" s="184">
        <f t="shared" si="1"/>
        <v>0.65</v>
      </c>
      <c r="AA33" s="156" t="b">
        <f t="shared" si="2"/>
        <v>1</v>
      </c>
      <c r="AB33" s="185" t="b">
        <f t="shared" si="3"/>
        <v>1</v>
      </c>
    </row>
    <row r="34" spans="1:28" s="179" customFormat="1" ht="45">
      <c r="A34" s="490">
        <v>32</v>
      </c>
      <c r="B34" s="327" t="s">
        <v>609</v>
      </c>
      <c r="C34" s="323" t="s">
        <v>314</v>
      </c>
      <c r="D34" s="327" t="s">
        <v>710</v>
      </c>
      <c r="E34" s="322">
        <v>1211092</v>
      </c>
      <c r="F34" s="328" t="s">
        <v>128</v>
      </c>
      <c r="G34" s="329" t="s">
        <v>711</v>
      </c>
      <c r="H34" s="330" t="s">
        <v>72</v>
      </c>
      <c r="I34" s="331">
        <v>0.398</v>
      </c>
      <c r="J34" s="508" t="s">
        <v>310</v>
      </c>
      <c r="K34" s="499">
        <v>2495458.68</v>
      </c>
      <c r="L34" s="499">
        <v>1622048</v>
      </c>
      <c r="M34" s="562">
        <v>873410.6800000002</v>
      </c>
      <c r="N34" s="563">
        <v>0.65</v>
      </c>
      <c r="O34" s="320"/>
      <c r="P34" s="320"/>
      <c r="Q34" s="320"/>
      <c r="R34" s="321">
        <v>1622048</v>
      </c>
      <c r="S34" s="321"/>
      <c r="T34" s="321"/>
      <c r="U34" s="321"/>
      <c r="V34" s="320"/>
      <c r="W34" s="320"/>
      <c r="X34" s="320"/>
      <c r="Y34" s="156" t="b">
        <f t="shared" si="0"/>
        <v>1</v>
      </c>
      <c r="Z34" s="184">
        <f t="shared" si="1"/>
        <v>0.65</v>
      </c>
      <c r="AA34" s="156" t="b">
        <f t="shared" si="2"/>
        <v>1</v>
      </c>
      <c r="AB34" s="185" t="b">
        <f t="shared" si="3"/>
        <v>1</v>
      </c>
    </row>
    <row r="35" spans="1:28" s="179" customFormat="1" ht="45">
      <c r="A35" s="490">
        <v>33</v>
      </c>
      <c r="B35" s="327" t="s">
        <v>611</v>
      </c>
      <c r="C35" s="323" t="s">
        <v>314</v>
      </c>
      <c r="D35" s="327" t="s">
        <v>296</v>
      </c>
      <c r="E35" s="322">
        <v>1202042</v>
      </c>
      <c r="F35" s="328" t="s">
        <v>152</v>
      </c>
      <c r="G35" s="329" t="s">
        <v>715</v>
      </c>
      <c r="H35" s="330" t="s">
        <v>74</v>
      </c>
      <c r="I35" s="331">
        <v>0.476</v>
      </c>
      <c r="J35" s="508" t="s">
        <v>304</v>
      </c>
      <c r="K35" s="499">
        <v>2699029.95</v>
      </c>
      <c r="L35" s="499">
        <v>1754369</v>
      </c>
      <c r="M35" s="562">
        <v>944660.9500000002</v>
      </c>
      <c r="N35" s="563">
        <v>0.65</v>
      </c>
      <c r="O35" s="320"/>
      <c r="P35" s="320"/>
      <c r="Q35" s="320"/>
      <c r="R35" s="321">
        <v>1754369</v>
      </c>
      <c r="S35" s="321"/>
      <c r="T35" s="321"/>
      <c r="U35" s="321"/>
      <c r="V35" s="320"/>
      <c r="W35" s="320"/>
      <c r="X35" s="320"/>
      <c r="Y35" s="156" t="b">
        <f>L35=SUM(O35:X35)</f>
        <v>1</v>
      </c>
      <c r="Z35" s="184">
        <f>ROUND(L35/K35,4)</f>
        <v>0.65</v>
      </c>
      <c r="AA35" s="156" t="b">
        <f>Z35=N35</f>
        <v>1</v>
      </c>
      <c r="AB35" s="185" t="b">
        <f>K35=L35+M35</f>
        <v>1</v>
      </c>
    </row>
    <row r="36" spans="1:28" s="179" customFormat="1" ht="60">
      <c r="A36" s="490">
        <v>34</v>
      </c>
      <c r="B36" s="327" t="s">
        <v>613</v>
      </c>
      <c r="C36" s="323" t="s">
        <v>314</v>
      </c>
      <c r="D36" s="327" t="s">
        <v>125</v>
      </c>
      <c r="E36" s="322">
        <v>1209033</v>
      </c>
      <c r="F36" s="328" t="s">
        <v>126</v>
      </c>
      <c r="G36" s="329" t="s">
        <v>958</v>
      </c>
      <c r="H36" s="330" t="s">
        <v>77</v>
      </c>
      <c r="I36" s="331">
        <v>0.8863</v>
      </c>
      <c r="J36" s="508" t="s">
        <v>717</v>
      </c>
      <c r="K36" s="499">
        <v>1586849</v>
      </c>
      <c r="L36" s="499">
        <v>872766</v>
      </c>
      <c r="M36" s="562">
        <v>714083</v>
      </c>
      <c r="N36" s="563">
        <v>0.55</v>
      </c>
      <c r="O36" s="572"/>
      <c r="P36" s="572"/>
      <c r="Q36" s="321"/>
      <c r="R36" s="321">
        <v>872766</v>
      </c>
      <c r="S36" s="321"/>
      <c r="T36" s="321"/>
      <c r="U36" s="573"/>
      <c r="V36" s="553"/>
      <c r="W36" s="553"/>
      <c r="X36" s="553"/>
      <c r="Y36" s="156" t="b">
        <f>L36=SUM(O36:X36)</f>
        <v>1</v>
      </c>
      <c r="Z36" s="184">
        <f>ROUND(L36/K36,4)</f>
        <v>0.55</v>
      </c>
      <c r="AA36" s="156" t="b">
        <f>Z36=N36</f>
        <v>1</v>
      </c>
      <c r="AB36" s="185" t="b">
        <f>K36=L36+M36</f>
        <v>1</v>
      </c>
    </row>
    <row r="37" spans="1:28" s="179" customFormat="1" ht="60">
      <c r="A37" s="490">
        <v>35</v>
      </c>
      <c r="B37" s="327" t="s">
        <v>615</v>
      </c>
      <c r="C37" s="323" t="s">
        <v>314</v>
      </c>
      <c r="D37" s="327" t="s">
        <v>598</v>
      </c>
      <c r="E37" s="322">
        <v>1210052</v>
      </c>
      <c r="F37" s="328" t="s">
        <v>162</v>
      </c>
      <c r="G37" s="329" t="s">
        <v>721</v>
      </c>
      <c r="H37" s="330" t="s">
        <v>77</v>
      </c>
      <c r="I37" s="331">
        <v>0.498</v>
      </c>
      <c r="J37" s="327" t="s">
        <v>600</v>
      </c>
      <c r="K37" s="499">
        <v>568498.84</v>
      </c>
      <c r="L37" s="499">
        <v>369524</v>
      </c>
      <c r="M37" s="562">
        <v>198974.83999999997</v>
      </c>
      <c r="N37" s="563">
        <v>0.65</v>
      </c>
      <c r="O37" s="572"/>
      <c r="P37" s="572"/>
      <c r="Q37" s="321"/>
      <c r="R37" s="321">
        <v>369524</v>
      </c>
      <c r="S37" s="321"/>
      <c r="T37" s="321"/>
      <c r="U37" s="573"/>
      <c r="V37" s="553"/>
      <c r="W37" s="553"/>
      <c r="X37" s="553"/>
      <c r="Y37" s="156" t="b">
        <f>L37=SUM(O37:X37)</f>
        <v>1</v>
      </c>
      <c r="Z37" s="184">
        <f>ROUND(L37/K37,4)</f>
        <v>0.65</v>
      </c>
      <c r="AA37" s="156" t="b">
        <f>Z37=N37</f>
        <v>1</v>
      </c>
      <c r="AB37" s="185" t="b">
        <f>K37=L37+M37</f>
        <v>1</v>
      </c>
    </row>
    <row r="38" spans="1:28" s="179" customFormat="1" ht="45">
      <c r="A38" s="490">
        <v>36</v>
      </c>
      <c r="B38" s="327" t="s">
        <v>617</v>
      </c>
      <c r="C38" s="323" t="s">
        <v>314</v>
      </c>
      <c r="D38" s="327" t="s">
        <v>603</v>
      </c>
      <c r="E38" s="322">
        <v>1211032</v>
      </c>
      <c r="F38" s="328" t="s">
        <v>128</v>
      </c>
      <c r="G38" s="329" t="s">
        <v>724</v>
      </c>
      <c r="H38" s="330" t="s">
        <v>77</v>
      </c>
      <c r="I38" s="331">
        <v>0.37</v>
      </c>
      <c r="J38" s="508" t="s">
        <v>605</v>
      </c>
      <c r="K38" s="499">
        <v>214200.51</v>
      </c>
      <c r="L38" s="499">
        <v>117810</v>
      </c>
      <c r="M38" s="562">
        <v>96390.51000000001</v>
      </c>
      <c r="N38" s="563">
        <v>0.55</v>
      </c>
      <c r="O38" s="572"/>
      <c r="P38" s="572"/>
      <c r="Q38" s="321"/>
      <c r="R38" s="321">
        <v>117810</v>
      </c>
      <c r="S38" s="321"/>
      <c r="T38" s="321"/>
      <c r="U38" s="573"/>
      <c r="V38" s="553"/>
      <c r="W38" s="553"/>
      <c r="X38" s="553"/>
      <c r="Y38" s="156" t="b">
        <f>L38=SUM(O38:X38)</f>
        <v>1</v>
      </c>
      <c r="Z38" s="184">
        <f>ROUND(L38/K38,4)</f>
        <v>0.55</v>
      </c>
      <c r="AA38" s="156" t="b">
        <f>Z38=N38</f>
        <v>1</v>
      </c>
      <c r="AB38" s="185" t="b">
        <f>K38=L38+M38</f>
        <v>1</v>
      </c>
    </row>
    <row r="39" spans="1:28" s="157" customFormat="1" ht="45">
      <c r="A39" s="490">
        <v>37</v>
      </c>
      <c r="B39" s="477" t="s">
        <v>618</v>
      </c>
      <c r="C39" s="512" t="s">
        <v>313</v>
      </c>
      <c r="D39" s="477" t="s">
        <v>579</v>
      </c>
      <c r="E39" s="486">
        <v>1209022</v>
      </c>
      <c r="F39" s="554" t="s">
        <v>126</v>
      </c>
      <c r="G39" s="487" t="s">
        <v>725</v>
      </c>
      <c r="H39" s="501" t="s">
        <v>77</v>
      </c>
      <c r="I39" s="502">
        <v>0.33</v>
      </c>
      <c r="J39" s="369" t="s">
        <v>581</v>
      </c>
      <c r="K39" s="471">
        <v>466878.62</v>
      </c>
      <c r="L39" s="471">
        <v>303471</v>
      </c>
      <c r="M39" s="500">
        <v>163407.62</v>
      </c>
      <c r="N39" s="569">
        <v>0.65</v>
      </c>
      <c r="O39" s="570"/>
      <c r="P39" s="570"/>
      <c r="Q39" s="515"/>
      <c r="R39" s="515">
        <v>174258</v>
      </c>
      <c r="S39" s="515">
        <v>129213</v>
      </c>
      <c r="T39" s="515"/>
      <c r="U39" s="571"/>
      <c r="V39" s="530"/>
      <c r="W39" s="530"/>
      <c r="X39" s="530"/>
      <c r="Y39" s="156" t="b">
        <f>L39=SUM(O39:X39)</f>
        <v>1</v>
      </c>
      <c r="Z39" s="184">
        <f>ROUND(L39/K39,4)</f>
        <v>0.65</v>
      </c>
      <c r="AA39" s="156" t="b">
        <f>Z39=N39</f>
        <v>1</v>
      </c>
      <c r="AB39" s="185" t="b">
        <f>K39=L39+M39</f>
        <v>1</v>
      </c>
    </row>
    <row r="40" spans="1:28" s="179" customFormat="1" ht="90">
      <c r="A40" s="490">
        <v>38</v>
      </c>
      <c r="B40" s="327" t="s">
        <v>623</v>
      </c>
      <c r="C40" s="323" t="s">
        <v>314</v>
      </c>
      <c r="D40" s="327" t="s">
        <v>575</v>
      </c>
      <c r="E40" s="322">
        <v>1215063</v>
      </c>
      <c r="F40" s="328" t="s">
        <v>576</v>
      </c>
      <c r="G40" s="329" t="s">
        <v>732</v>
      </c>
      <c r="H40" s="330" t="s">
        <v>74</v>
      </c>
      <c r="I40" s="331">
        <v>0.0269</v>
      </c>
      <c r="J40" s="508" t="s">
        <v>945</v>
      </c>
      <c r="K40" s="499">
        <v>887274.8</v>
      </c>
      <c r="L40" s="499">
        <v>532364</v>
      </c>
      <c r="M40" s="562">
        <v>354910.80000000005</v>
      </c>
      <c r="N40" s="563">
        <v>0.6</v>
      </c>
      <c r="O40" s="572"/>
      <c r="P40" s="572"/>
      <c r="Q40" s="321"/>
      <c r="R40" s="321">
        <v>532364</v>
      </c>
      <c r="S40" s="321"/>
      <c r="T40" s="321"/>
      <c r="U40" s="573"/>
      <c r="V40" s="553"/>
      <c r="W40" s="553"/>
      <c r="X40" s="553"/>
      <c r="Y40" s="156" t="b">
        <f aca="true" t="shared" si="4" ref="Y40:Y46">L40=SUM(O40:X40)</f>
        <v>1</v>
      </c>
      <c r="Z40" s="184">
        <f aca="true" t="shared" si="5" ref="Z40:Z46">ROUND(L40/K40,4)</f>
        <v>0.6</v>
      </c>
      <c r="AA40" s="156" t="b">
        <f aca="true" t="shared" si="6" ref="AA40:AA46">Z40=N40</f>
        <v>1</v>
      </c>
      <c r="AB40" s="185" t="b">
        <f aca="true" t="shared" si="7" ref="AB40:AB46">K40=L40+M40</f>
        <v>1</v>
      </c>
    </row>
    <row r="41" spans="1:28" s="179" customFormat="1" ht="90">
      <c r="A41" s="490">
        <v>39</v>
      </c>
      <c r="B41" s="327" t="s">
        <v>624</v>
      </c>
      <c r="C41" s="323" t="s">
        <v>314</v>
      </c>
      <c r="D41" s="327" t="s">
        <v>733</v>
      </c>
      <c r="E41" s="322">
        <v>1207072</v>
      </c>
      <c r="F41" s="328" t="s">
        <v>298</v>
      </c>
      <c r="G41" s="329" t="s">
        <v>734</v>
      </c>
      <c r="H41" s="330" t="s">
        <v>77</v>
      </c>
      <c r="I41" s="331">
        <v>3.514</v>
      </c>
      <c r="J41" s="508" t="s">
        <v>333</v>
      </c>
      <c r="K41" s="499">
        <v>3098140.96</v>
      </c>
      <c r="L41" s="499">
        <v>2013791</v>
      </c>
      <c r="M41" s="562">
        <v>1084349.96</v>
      </c>
      <c r="N41" s="563">
        <v>0.65</v>
      </c>
      <c r="O41" s="572"/>
      <c r="P41" s="572"/>
      <c r="Q41" s="321"/>
      <c r="R41" s="321">
        <v>2013791</v>
      </c>
      <c r="S41" s="321"/>
      <c r="T41" s="321"/>
      <c r="U41" s="573"/>
      <c r="V41" s="553"/>
      <c r="W41" s="553"/>
      <c r="X41" s="553"/>
      <c r="Y41" s="156" t="b">
        <f t="shared" si="4"/>
        <v>1</v>
      </c>
      <c r="Z41" s="184">
        <f t="shared" si="5"/>
        <v>0.65</v>
      </c>
      <c r="AA41" s="156" t="b">
        <f t="shared" si="6"/>
        <v>1</v>
      </c>
      <c r="AB41" s="185" t="b">
        <f t="shared" si="7"/>
        <v>1</v>
      </c>
    </row>
    <row r="42" spans="1:28" s="179" customFormat="1" ht="45">
      <c r="A42" s="490">
        <v>40</v>
      </c>
      <c r="B42" s="327" t="s">
        <v>626</v>
      </c>
      <c r="C42" s="323" t="s">
        <v>314</v>
      </c>
      <c r="D42" s="327" t="s">
        <v>165</v>
      </c>
      <c r="E42" s="322">
        <v>1202023</v>
      </c>
      <c r="F42" s="328" t="s">
        <v>152</v>
      </c>
      <c r="G42" s="329" t="s">
        <v>736</v>
      </c>
      <c r="H42" s="330" t="s">
        <v>77</v>
      </c>
      <c r="I42" s="331">
        <v>1.69</v>
      </c>
      <c r="J42" s="508" t="s">
        <v>737</v>
      </c>
      <c r="K42" s="499">
        <v>730483.59</v>
      </c>
      <c r="L42" s="499">
        <v>474814</v>
      </c>
      <c r="M42" s="562">
        <v>255669.58999999997</v>
      </c>
      <c r="N42" s="563">
        <v>0.65</v>
      </c>
      <c r="O42" s="572"/>
      <c r="P42" s="572"/>
      <c r="Q42" s="321"/>
      <c r="R42" s="321">
        <v>474814</v>
      </c>
      <c r="S42" s="321"/>
      <c r="T42" s="321"/>
      <c r="U42" s="573"/>
      <c r="V42" s="553"/>
      <c r="W42" s="553"/>
      <c r="X42" s="553"/>
      <c r="Y42" s="156" t="b">
        <f t="shared" si="4"/>
        <v>1</v>
      </c>
      <c r="Z42" s="184">
        <f t="shared" si="5"/>
        <v>0.65</v>
      </c>
      <c r="AA42" s="156" t="b">
        <f t="shared" si="6"/>
        <v>1</v>
      </c>
      <c r="AB42" s="185" t="b">
        <f t="shared" si="7"/>
        <v>1</v>
      </c>
    </row>
    <row r="43" spans="1:28" s="179" customFormat="1" ht="30">
      <c r="A43" s="490">
        <v>41</v>
      </c>
      <c r="B43" s="327" t="s">
        <v>628</v>
      </c>
      <c r="C43" s="323" t="s">
        <v>314</v>
      </c>
      <c r="D43" s="327" t="s">
        <v>330</v>
      </c>
      <c r="E43" s="322">
        <v>1216092</v>
      </c>
      <c r="F43" s="328" t="s">
        <v>161</v>
      </c>
      <c r="G43" s="329" t="s">
        <v>740</v>
      </c>
      <c r="H43" s="330" t="s">
        <v>77</v>
      </c>
      <c r="I43" s="331">
        <v>1.609</v>
      </c>
      <c r="J43" s="508" t="s">
        <v>741</v>
      </c>
      <c r="K43" s="499">
        <v>783078.15</v>
      </c>
      <c r="L43" s="499">
        <v>469846</v>
      </c>
      <c r="M43" s="562">
        <v>313232.15</v>
      </c>
      <c r="N43" s="563">
        <v>0.6</v>
      </c>
      <c r="O43" s="572"/>
      <c r="P43" s="572"/>
      <c r="Q43" s="321"/>
      <c r="R43" s="321">
        <v>469846</v>
      </c>
      <c r="S43" s="321"/>
      <c r="T43" s="321"/>
      <c r="U43" s="573"/>
      <c r="V43" s="553"/>
      <c r="W43" s="553"/>
      <c r="X43" s="553"/>
      <c r="Y43" s="156" t="b">
        <f t="shared" si="4"/>
        <v>1</v>
      </c>
      <c r="Z43" s="184">
        <f t="shared" si="5"/>
        <v>0.6</v>
      </c>
      <c r="AA43" s="156" t="b">
        <f t="shared" si="6"/>
        <v>1</v>
      </c>
      <c r="AB43" s="185" t="b">
        <f t="shared" si="7"/>
        <v>1</v>
      </c>
    </row>
    <row r="44" spans="1:28" s="179" customFormat="1" ht="45">
      <c r="A44" s="490">
        <v>42</v>
      </c>
      <c r="B44" s="327" t="s">
        <v>629</v>
      </c>
      <c r="C44" s="323" t="s">
        <v>314</v>
      </c>
      <c r="D44" s="327" t="s">
        <v>582</v>
      </c>
      <c r="E44" s="322">
        <v>1210163</v>
      </c>
      <c r="F44" s="328" t="s">
        <v>162</v>
      </c>
      <c r="G44" s="329" t="s">
        <v>742</v>
      </c>
      <c r="H44" s="330" t="s">
        <v>77</v>
      </c>
      <c r="I44" s="331">
        <v>1.43</v>
      </c>
      <c r="J44" s="508" t="s">
        <v>950</v>
      </c>
      <c r="K44" s="499">
        <v>502022.63</v>
      </c>
      <c r="L44" s="499">
        <v>326314</v>
      </c>
      <c r="M44" s="562">
        <v>175708.63</v>
      </c>
      <c r="N44" s="563">
        <v>0.65</v>
      </c>
      <c r="O44" s="572"/>
      <c r="P44" s="572"/>
      <c r="Q44" s="321"/>
      <c r="R44" s="321">
        <v>326314</v>
      </c>
      <c r="S44" s="321"/>
      <c r="T44" s="321"/>
      <c r="U44" s="573"/>
      <c r="V44" s="553"/>
      <c r="W44" s="553"/>
      <c r="X44" s="553"/>
      <c r="Y44" s="156" t="b">
        <f t="shared" si="4"/>
        <v>1</v>
      </c>
      <c r="Z44" s="184">
        <f t="shared" si="5"/>
        <v>0.65</v>
      </c>
      <c r="AA44" s="156" t="b">
        <f t="shared" si="6"/>
        <v>1</v>
      </c>
      <c r="AB44" s="185" t="b">
        <f t="shared" si="7"/>
        <v>1</v>
      </c>
    </row>
    <row r="45" spans="1:28" s="179" customFormat="1" ht="30">
      <c r="A45" s="490">
        <v>43</v>
      </c>
      <c r="B45" s="327" t="s">
        <v>631</v>
      </c>
      <c r="C45" s="323" t="s">
        <v>314</v>
      </c>
      <c r="D45" s="327" t="s">
        <v>156</v>
      </c>
      <c r="E45" s="322">
        <v>1206162</v>
      </c>
      <c r="F45" s="328" t="s">
        <v>130</v>
      </c>
      <c r="G45" s="329" t="s">
        <v>744</v>
      </c>
      <c r="H45" s="330" t="s">
        <v>77</v>
      </c>
      <c r="I45" s="331">
        <v>0.765</v>
      </c>
      <c r="J45" s="508" t="s">
        <v>311</v>
      </c>
      <c r="K45" s="499">
        <v>2832477.59</v>
      </c>
      <c r="L45" s="499">
        <v>1416238</v>
      </c>
      <c r="M45" s="562">
        <v>1416239.5899999999</v>
      </c>
      <c r="N45" s="563">
        <v>0.5</v>
      </c>
      <c r="O45" s="572"/>
      <c r="P45" s="572"/>
      <c r="Q45" s="321"/>
      <c r="R45" s="321">
        <v>1416238</v>
      </c>
      <c r="S45" s="321"/>
      <c r="T45" s="321"/>
      <c r="U45" s="573"/>
      <c r="V45" s="553"/>
      <c r="W45" s="553"/>
      <c r="X45" s="553"/>
      <c r="Y45" s="156" t="b">
        <f t="shared" si="4"/>
        <v>1</v>
      </c>
      <c r="Z45" s="184">
        <f t="shared" si="5"/>
        <v>0.5</v>
      </c>
      <c r="AA45" s="156" t="b">
        <f t="shared" si="6"/>
        <v>1</v>
      </c>
      <c r="AB45" s="185" t="b">
        <f t="shared" si="7"/>
        <v>1</v>
      </c>
    </row>
    <row r="46" spans="1:28" s="179" customFormat="1" ht="45">
      <c r="A46" s="490">
        <v>44</v>
      </c>
      <c r="B46" s="327" t="s">
        <v>632</v>
      </c>
      <c r="C46" s="323" t="s">
        <v>314</v>
      </c>
      <c r="D46" s="327" t="s">
        <v>745</v>
      </c>
      <c r="E46" s="322">
        <v>1207011</v>
      </c>
      <c r="F46" s="328" t="s">
        <v>298</v>
      </c>
      <c r="G46" s="329" t="s">
        <v>746</v>
      </c>
      <c r="H46" s="330" t="s">
        <v>77</v>
      </c>
      <c r="I46" s="331">
        <v>0.668</v>
      </c>
      <c r="J46" s="508" t="s">
        <v>747</v>
      </c>
      <c r="K46" s="499">
        <v>2500946.4</v>
      </c>
      <c r="L46" s="499">
        <v>1250473</v>
      </c>
      <c r="M46" s="562">
        <v>1250473.4</v>
      </c>
      <c r="N46" s="563">
        <v>0.5</v>
      </c>
      <c r="O46" s="572"/>
      <c r="P46" s="572"/>
      <c r="Q46" s="321"/>
      <c r="R46" s="321">
        <v>1250473</v>
      </c>
      <c r="S46" s="321"/>
      <c r="T46" s="321"/>
      <c r="U46" s="573"/>
      <c r="V46" s="553"/>
      <c r="W46" s="553"/>
      <c r="X46" s="553"/>
      <c r="Y46" s="156" t="b">
        <f t="shared" si="4"/>
        <v>1</v>
      </c>
      <c r="Z46" s="184">
        <f t="shared" si="5"/>
        <v>0.5</v>
      </c>
      <c r="AA46" s="156" t="b">
        <f t="shared" si="6"/>
        <v>1</v>
      </c>
      <c r="AB46" s="185" t="b">
        <f t="shared" si="7"/>
        <v>1</v>
      </c>
    </row>
    <row r="47" spans="1:28" s="179" customFormat="1" ht="45">
      <c r="A47" s="490">
        <v>45</v>
      </c>
      <c r="B47" s="327" t="s">
        <v>633</v>
      </c>
      <c r="C47" s="323" t="s">
        <v>314</v>
      </c>
      <c r="D47" s="327" t="s">
        <v>728</v>
      </c>
      <c r="E47" s="322">
        <v>1210092</v>
      </c>
      <c r="F47" s="328" t="s">
        <v>162</v>
      </c>
      <c r="G47" s="329" t="s">
        <v>748</v>
      </c>
      <c r="H47" s="330" t="s">
        <v>77</v>
      </c>
      <c r="I47" s="331">
        <v>0.65</v>
      </c>
      <c r="J47" s="327" t="s">
        <v>936</v>
      </c>
      <c r="K47" s="499">
        <v>423303.54</v>
      </c>
      <c r="L47" s="499">
        <v>317477</v>
      </c>
      <c r="M47" s="562">
        <v>105826.53999999998</v>
      </c>
      <c r="N47" s="563">
        <v>0.75</v>
      </c>
      <c r="O47" s="572"/>
      <c r="P47" s="572"/>
      <c r="Q47" s="321"/>
      <c r="R47" s="321">
        <v>317477</v>
      </c>
      <c r="S47" s="321"/>
      <c r="T47" s="321"/>
      <c r="U47" s="573"/>
      <c r="V47" s="553"/>
      <c r="W47" s="553"/>
      <c r="X47" s="553"/>
      <c r="Y47" s="156" t="b">
        <f aca="true" t="shared" si="8" ref="Y47:Y54">L47=SUM(O47:X47)</f>
        <v>1</v>
      </c>
      <c r="Z47" s="184">
        <f aca="true" t="shared" si="9" ref="Z47:Z54">ROUND(L47/K47,4)</f>
        <v>0.75</v>
      </c>
      <c r="AA47" s="156" t="b">
        <f aca="true" t="shared" si="10" ref="AA47:AA54">Z47=N47</f>
        <v>1</v>
      </c>
      <c r="AB47" s="185" t="b">
        <f aca="true" t="shared" si="11" ref="AB47:AB54">K47=L47+M47</f>
        <v>1</v>
      </c>
    </row>
    <row r="48" spans="1:28" s="179" customFormat="1" ht="45">
      <c r="A48" s="490">
        <v>46</v>
      </c>
      <c r="B48" s="327" t="s">
        <v>634</v>
      </c>
      <c r="C48" s="323" t="s">
        <v>314</v>
      </c>
      <c r="D48" s="327" t="s">
        <v>595</v>
      </c>
      <c r="E48" s="574">
        <v>1202072</v>
      </c>
      <c r="F48" s="328" t="s">
        <v>152</v>
      </c>
      <c r="G48" s="329" t="s">
        <v>749</v>
      </c>
      <c r="H48" s="330" t="s">
        <v>77</v>
      </c>
      <c r="I48" s="331">
        <v>0.598</v>
      </c>
      <c r="J48" s="508" t="s">
        <v>597</v>
      </c>
      <c r="K48" s="499">
        <v>125481.02</v>
      </c>
      <c r="L48" s="499">
        <v>69014</v>
      </c>
      <c r="M48" s="562">
        <v>56467.020000000004</v>
      </c>
      <c r="N48" s="563">
        <v>0.55</v>
      </c>
      <c r="O48" s="572"/>
      <c r="P48" s="572"/>
      <c r="Q48" s="321"/>
      <c r="R48" s="321">
        <v>69014</v>
      </c>
      <c r="S48" s="321"/>
      <c r="T48" s="321"/>
      <c r="U48" s="573"/>
      <c r="V48" s="553"/>
      <c r="W48" s="553"/>
      <c r="X48" s="553"/>
      <c r="Y48" s="156" t="b">
        <f t="shared" si="8"/>
        <v>1</v>
      </c>
      <c r="Z48" s="184">
        <f t="shared" si="9"/>
        <v>0.55</v>
      </c>
      <c r="AA48" s="156" t="b">
        <f t="shared" si="10"/>
        <v>1</v>
      </c>
      <c r="AB48" s="185" t="b">
        <f t="shared" si="11"/>
        <v>1</v>
      </c>
    </row>
    <row r="49" spans="1:28" s="179" customFormat="1" ht="60">
      <c r="A49" s="490">
        <v>47</v>
      </c>
      <c r="B49" s="327" t="s">
        <v>636</v>
      </c>
      <c r="C49" s="323" t="s">
        <v>314</v>
      </c>
      <c r="D49" s="327" t="s">
        <v>751</v>
      </c>
      <c r="E49" s="322">
        <v>1215082</v>
      </c>
      <c r="F49" s="328" t="s">
        <v>576</v>
      </c>
      <c r="G49" s="329" t="s">
        <v>752</v>
      </c>
      <c r="H49" s="330" t="s">
        <v>77</v>
      </c>
      <c r="I49" s="331">
        <v>0.483</v>
      </c>
      <c r="J49" s="508" t="s">
        <v>720</v>
      </c>
      <c r="K49" s="499">
        <v>242419.01</v>
      </c>
      <c r="L49" s="499">
        <v>133330</v>
      </c>
      <c r="M49" s="562">
        <v>109089.01000000001</v>
      </c>
      <c r="N49" s="563">
        <v>0.55</v>
      </c>
      <c r="O49" s="572"/>
      <c r="P49" s="572"/>
      <c r="Q49" s="321"/>
      <c r="R49" s="321">
        <v>133330</v>
      </c>
      <c r="S49" s="321"/>
      <c r="T49" s="321"/>
      <c r="U49" s="573"/>
      <c r="V49" s="553"/>
      <c r="W49" s="553"/>
      <c r="X49" s="553"/>
      <c r="Y49" s="156" t="b">
        <f t="shared" si="8"/>
        <v>1</v>
      </c>
      <c r="Z49" s="184">
        <f t="shared" si="9"/>
        <v>0.55</v>
      </c>
      <c r="AA49" s="156" t="b">
        <f t="shared" si="10"/>
        <v>1</v>
      </c>
      <c r="AB49" s="185" t="b">
        <f t="shared" si="11"/>
        <v>1</v>
      </c>
    </row>
    <row r="50" spans="1:28" s="179" customFormat="1" ht="45">
      <c r="A50" s="490">
        <v>48</v>
      </c>
      <c r="B50" s="327" t="s">
        <v>637</v>
      </c>
      <c r="C50" s="323" t="s">
        <v>314</v>
      </c>
      <c r="D50" s="327" t="s">
        <v>753</v>
      </c>
      <c r="E50" s="322">
        <v>1219022</v>
      </c>
      <c r="F50" s="328" t="s">
        <v>150</v>
      </c>
      <c r="G50" s="329" t="s">
        <v>754</v>
      </c>
      <c r="H50" s="330" t="s">
        <v>77</v>
      </c>
      <c r="I50" s="331">
        <v>0.356</v>
      </c>
      <c r="J50" s="508" t="s">
        <v>720</v>
      </c>
      <c r="K50" s="499">
        <v>298983.14</v>
      </c>
      <c r="L50" s="499">
        <v>179389</v>
      </c>
      <c r="M50" s="562">
        <v>119594.14000000001</v>
      </c>
      <c r="N50" s="563">
        <v>0.6</v>
      </c>
      <c r="O50" s="572"/>
      <c r="P50" s="572"/>
      <c r="Q50" s="321"/>
      <c r="R50" s="321">
        <v>179389</v>
      </c>
      <c r="S50" s="321"/>
      <c r="T50" s="321"/>
      <c r="U50" s="573"/>
      <c r="V50" s="553"/>
      <c r="W50" s="553"/>
      <c r="X50" s="553"/>
      <c r="Y50" s="156" t="b">
        <f t="shared" si="8"/>
        <v>1</v>
      </c>
      <c r="Z50" s="184">
        <f t="shared" si="9"/>
        <v>0.6</v>
      </c>
      <c r="AA50" s="156" t="b">
        <f t="shared" si="10"/>
        <v>1</v>
      </c>
      <c r="AB50" s="185" t="b">
        <f t="shared" si="11"/>
        <v>1</v>
      </c>
    </row>
    <row r="51" spans="1:28" s="179" customFormat="1" ht="30">
      <c r="A51" s="490">
        <v>49</v>
      </c>
      <c r="B51" s="327" t="s">
        <v>642</v>
      </c>
      <c r="C51" s="323" t="s">
        <v>314</v>
      </c>
      <c r="D51" s="327" t="s">
        <v>586</v>
      </c>
      <c r="E51" s="322">
        <v>1201022</v>
      </c>
      <c r="F51" s="328" t="s">
        <v>176</v>
      </c>
      <c r="G51" s="329" t="s">
        <v>764</v>
      </c>
      <c r="H51" s="330" t="s">
        <v>77</v>
      </c>
      <c r="I51" s="331">
        <v>0.998</v>
      </c>
      <c r="J51" s="508" t="s">
        <v>588</v>
      </c>
      <c r="K51" s="499">
        <v>1275073.35</v>
      </c>
      <c r="L51" s="499">
        <v>828797</v>
      </c>
      <c r="M51" s="562">
        <v>446276.3500000001</v>
      </c>
      <c r="N51" s="563">
        <v>0.65</v>
      </c>
      <c r="O51" s="572"/>
      <c r="P51" s="572"/>
      <c r="Q51" s="321"/>
      <c r="R51" s="321">
        <v>828797</v>
      </c>
      <c r="S51" s="321"/>
      <c r="T51" s="321"/>
      <c r="U51" s="573"/>
      <c r="V51" s="553"/>
      <c r="W51" s="553"/>
      <c r="X51" s="553"/>
      <c r="Y51" s="156" t="b">
        <f t="shared" si="8"/>
        <v>1</v>
      </c>
      <c r="Z51" s="184">
        <f t="shared" si="9"/>
        <v>0.65</v>
      </c>
      <c r="AA51" s="156" t="b">
        <f t="shared" si="10"/>
        <v>1</v>
      </c>
      <c r="AB51" s="185" t="b">
        <f t="shared" si="11"/>
        <v>1</v>
      </c>
    </row>
    <row r="52" spans="1:28" s="179" customFormat="1" ht="60">
      <c r="A52" s="490">
        <v>50</v>
      </c>
      <c r="B52" s="327" t="s">
        <v>643</v>
      </c>
      <c r="C52" s="323" t="s">
        <v>314</v>
      </c>
      <c r="D52" s="327" t="s">
        <v>765</v>
      </c>
      <c r="E52" s="322">
        <v>1218022</v>
      </c>
      <c r="F52" s="328" t="s">
        <v>147</v>
      </c>
      <c r="G52" s="329" t="s">
        <v>766</v>
      </c>
      <c r="H52" s="330" t="s">
        <v>77</v>
      </c>
      <c r="I52" s="331">
        <v>0.899</v>
      </c>
      <c r="J52" s="508" t="s">
        <v>767</v>
      </c>
      <c r="K52" s="499">
        <v>591939.01</v>
      </c>
      <c r="L52" s="499">
        <v>384760</v>
      </c>
      <c r="M52" s="562">
        <v>207179.01</v>
      </c>
      <c r="N52" s="563">
        <v>0.65</v>
      </c>
      <c r="O52" s="572"/>
      <c r="P52" s="572"/>
      <c r="Q52" s="321"/>
      <c r="R52" s="321">
        <v>384760</v>
      </c>
      <c r="S52" s="321"/>
      <c r="T52" s="321"/>
      <c r="U52" s="573"/>
      <c r="V52" s="553"/>
      <c r="W52" s="553"/>
      <c r="X52" s="553"/>
      <c r="Y52" s="156" t="b">
        <f t="shared" si="8"/>
        <v>1</v>
      </c>
      <c r="Z52" s="184">
        <f t="shared" si="9"/>
        <v>0.65</v>
      </c>
      <c r="AA52" s="156" t="b">
        <f t="shared" si="10"/>
        <v>1</v>
      </c>
      <c r="AB52" s="185" t="b">
        <f t="shared" si="11"/>
        <v>1</v>
      </c>
    </row>
    <row r="53" spans="1:28" s="179" customFormat="1" ht="30">
      <c r="A53" s="490">
        <v>51</v>
      </c>
      <c r="B53" s="327" t="s">
        <v>646</v>
      </c>
      <c r="C53" s="323" t="s">
        <v>314</v>
      </c>
      <c r="D53" s="327" t="s">
        <v>770</v>
      </c>
      <c r="E53" s="322">
        <v>1206103</v>
      </c>
      <c r="F53" s="328" t="s">
        <v>130</v>
      </c>
      <c r="G53" s="329" t="s">
        <v>771</v>
      </c>
      <c r="H53" s="330" t="s">
        <v>77</v>
      </c>
      <c r="I53" s="331">
        <v>0.262</v>
      </c>
      <c r="J53" s="327" t="s">
        <v>600</v>
      </c>
      <c r="K53" s="499">
        <v>207985.69</v>
      </c>
      <c r="L53" s="499">
        <v>135190</v>
      </c>
      <c r="M53" s="562">
        <v>72795.69</v>
      </c>
      <c r="N53" s="563">
        <v>0.65</v>
      </c>
      <c r="O53" s="572"/>
      <c r="P53" s="572"/>
      <c r="Q53" s="321"/>
      <c r="R53" s="321">
        <v>135190</v>
      </c>
      <c r="S53" s="321"/>
      <c r="T53" s="321"/>
      <c r="U53" s="573"/>
      <c r="V53" s="553"/>
      <c r="W53" s="553"/>
      <c r="X53" s="553"/>
      <c r="Y53" s="156" t="b">
        <f t="shared" si="8"/>
        <v>1</v>
      </c>
      <c r="Z53" s="184">
        <f t="shared" si="9"/>
        <v>0.65</v>
      </c>
      <c r="AA53" s="156" t="b">
        <f t="shared" si="10"/>
        <v>1</v>
      </c>
      <c r="AB53" s="185" t="b">
        <f t="shared" si="11"/>
        <v>1</v>
      </c>
    </row>
    <row r="54" spans="1:28" s="179" customFormat="1" ht="60">
      <c r="A54" s="490">
        <v>52</v>
      </c>
      <c r="B54" s="327" t="s">
        <v>647</v>
      </c>
      <c r="C54" s="323" t="s">
        <v>314</v>
      </c>
      <c r="D54" s="327" t="s">
        <v>294</v>
      </c>
      <c r="E54" s="322">
        <v>1216063</v>
      </c>
      <c r="F54" s="328" t="s">
        <v>161</v>
      </c>
      <c r="G54" s="329" t="s">
        <v>772</v>
      </c>
      <c r="H54" s="330" t="s">
        <v>74</v>
      </c>
      <c r="I54" s="331">
        <v>1.7295</v>
      </c>
      <c r="J54" s="508" t="s">
        <v>307</v>
      </c>
      <c r="K54" s="499">
        <v>654058.88</v>
      </c>
      <c r="L54" s="499">
        <v>392435</v>
      </c>
      <c r="M54" s="562">
        <v>261623.88</v>
      </c>
      <c r="N54" s="563">
        <v>0.6</v>
      </c>
      <c r="O54" s="572"/>
      <c r="P54" s="572"/>
      <c r="Q54" s="321"/>
      <c r="R54" s="321">
        <v>392435</v>
      </c>
      <c r="S54" s="321"/>
      <c r="T54" s="321"/>
      <c r="U54" s="573"/>
      <c r="V54" s="553"/>
      <c r="W54" s="553"/>
      <c r="X54" s="553"/>
      <c r="Y54" s="156" t="b">
        <f t="shared" si="8"/>
        <v>1</v>
      </c>
      <c r="Z54" s="184">
        <f t="shared" si="9"/>
        <v>0.6</v>
      </c>
      <c r="AA54" s="156" t="b">
        <f t="shared" si="10"/>
        <v>1</v>
      </c>
      <c r="AB54" s="185" t="b">
        <f t="shared" si="11"/>
        <v>1</v>
      </c>
    </row>
    <row r="55" spans="1:28" s="157" customFormat="1" ht="75">
      <c r="A55" s="490">
        <v>53</v>
      </c>
      <c r="B55" s="477" t="s">
        <v>650</v>
      </c>
      <c r="C55" s="512" t="s">
        <v>313</v>
      </c>
      <c r="D55" s="477" t="s">
        <v>288</v>
      </c>
      <c r="E55" s="486">
        <v>1207092</v>
      </c>
      <c r="F55" s="554" t="s">
        <v>298</v>
      </c>
      <c r="G55" s="487" t="s">
        <v>778</v>
      </c>
      <c r="H55" s="501" t="s">
        <v>77</v>
      </c>
      <c r="I55" s="502">
        <v>2.219</v>
      </c>
      <c r="J55" s="369" t="s">
        <v>779</v>
      </c>
      <c r="K55" s="471">
        <v>3195987.14</v>
      </c>
      <c r="L55" s="471">
        <v>1917592</v>
      </c>
      <c r="M55" s="500">
        <v>1278395.1400000001</v>
      </c>
      <c r="N55" s="569">
        <v>0.6</v>
      </c>
      <c r="O55" s="570"/>
      <c r="P55" s="570"/>
      <c r="Q55" s="515"/>
      <c r="R55" s="515">
        <v>139983</v>
      </c>
      <c r="S55" s="515">
        <v>373113</v>
      </c>
      <c r="T55" s="515">
        <v>1404496</v>
      </c>
      <c r="U55" s="571"/>
      <c r="V55" s="530"/>
      <c r="W55" s="530"/>
      <c r="X55" s="530"/>
      <c r="Y55" s="156" t="b">
        <f aca="true" t="shared" si="12" ref="Y55:Y60">L55=SUM(O55:X55)</f>
        <v>1</v>
      </c>
      <c r="Z55" s="184">
        <f aca="true" t="shared" si="13" ref="Z55:Z60">ROUND(L55/K55,4)</f>
        <v>0.6</v>
      </c>
      <c r="AA55" s="156" t="b">
        <f aca="true" t="shared" si="14" ref="AA55:AA60">Z55=N55</f>
        <v>1</v>
      </c>
      <c r="AB55" s="185" t="b">
        <f aca="true" t="shared" si="15" ref="AB55:AB60">K55=L55+M55</f>
        <v>1</v>
      </c>
    </row>
    <row r="56" spans="1:28" s="179" customFormat="1" ht="45">
      <c r="A56" s="490">
        <v>54</v>
      </c>
      <c r="B56" s="327" t="s">
        <v>651</v>
      </c>
      <c r="C56" s="323" t="s">
        <v>314</v>
      </c>
      <c r="D56" s="327" t="s">
        <v>780</v>
      </c>
      <c r="E56" s="322">
        <v>1204062</v>
      </c>
      <c r="F56" s="328" t="s">
        <v>781</v>
      </c>
      <c r="G56" s="329" t="s">
        <v>782</v>
      </c>
      <c r="H56" s="330" t="s">
        <v>77</v>
      </c>
      <c r="I56" s="331">
        <v>1.71</v>
      </c>
      <c r="J56" s="508" t="s">
        <v>302</v>
      </c>
      <c r="K56" s="499">
        <v>1128611.17</v>
      </c>
      <c r="L56" s="499">
        <v>677166</v>
      </c>
      <c r="M56" s="562">
        <v>451445.1699999999</v>
      </c>
      <c r="N56" s="563">
        <v>0.6</v>
      </c>
      <c r="O56" s="572"/>
      <c r="P56" s="572"/>
      <c r="Q56" s="321"/>
      <c r="R56" s="321">
        <v>677166</v>
      </c>
      <c r="S56" s="321"/>
      <c r="T56" s="321"/>
      <c r="U56" s="573"/>
      <c r="V56" s="553"/>
      <c r="W56" s="553"/>
      <c r="X56" s="553"/>
      <c r="Y56" s="156" t="b">
        <f t="shared" si="12"/>
        <v>1</v>
      </c>
      <c r="Z56" s="184">
        <f t="shared" si="13"/>
        <v>0.6</v>
      </c>
      <c r="AA56" s="156" t="b">
        <f t="shared" si="14"/>
        <v>1</v>
      </c>
      <c r="AB56" s="185" t="b">
        <f t="shared" si="15"/>
        <v>1</v>
      </c>
    </row>
    <row r="57" spans="1:28" s="179" customFormat="1" ht="60">
      <c r="A57" s="490">
        <v>55</v>
      </c>
      <c r="B57" s="327" t="s">
        <v>653</v>
      </c>
      <c r="C57" s="323" t="s">
        <v>314</v>
      </c>
      <c r="D57" s="327" t="s">
        <v>287</v>
      </c>
      <c r="E57" s="322">
        <v>1210102</v>
      </c>
      <c r="F57" s="328" t="s">
        <v>162</v>
      </c>
      <c r="G57" s="329" t="s">
        <v>786</v>
      </c>
      <c r="H57" s="330" t="s">
        <v>77</v>
      </c>
      <c r="I57" s="331">
        <v>1.58</v>
      </c>
      <c r="J57" s="508" t="s">
        <v>303</v>
      </c>
      <c r="K57" s="499">
        <v>1648231.92</v>
      </c>
      <c r="L57" s="499">
        <v>988939</v>
      </c>
      <c r="M57" s="562">
        <v>659292.9199999999</v>
      </c>
      <c r="N57" s="563">
        <v>0.6</v>
      </c>
      <c r="O57" s="572"/>
      <c r="P57" s="572"/>
      <c r="Q57" s="321"/>
      <c r="R57" s="321">
        <v>988939</v>
      </c>
      <c r="S57" s="321"/>
      <c r="T57" s="321"/>
      <c r="U57" s="573"/>
      <c r="V57" s="553"/>
      <c r="W57" s="553"/>
      <c r="X57" s="553"/>
      <c r="Y57" s="156" t="b">
        <f t="shared" si="12"/>
        <v>1</v>
      </c>
      <c r="Z57" s="184">
        <f t="shared" si="13"/>
        <v>0.6</v>
      </c>
      <c r="AA57" s="156" t="b">
        <f t="shared" si="14"/>
        <v>1</v>
      </c>
      <c r="AB57" s="185" t="b">
        <f t="shared" si="15"/>
        <v>1</v>
      </c>
    </row>
    <row r="58" spans="1:28" s="157" customFormat="1" ht="45">
      <c r="A58" s="490">
        <v>56</v>
      </c>
      <c r="B58" s="477" t="s">
        <v>655</v>
      </c>
      <c r="C58" s="512" t="s">
        <v>313</v>
      </c>
      <c r="D58" s="477" t="s">
        <v>189</v>
      </c>
      <c r="E58" s="486">
        <v>1212073</v>
      </c>
      <c r="F58" s="554" t="s">
        <v>167</v>
      </c>
      <c r="G58" s="487" t="s">
        <v>789</v>
      </c>
      <c r="H58" s="501" t="s">
        <v>77</v>
      </c>
      <c r="I58" s="502">
        <v>1.5</v>
      </c>
      <c r="J58" s="369" t="s">
        <v>790</v>
      </c>
      <c r="K58" s="471">
        <v>2344026.87</v>
      </c>
      <c r="L58" s="471">
        <v>1406416</v>
      </c>
      <c r="M58" s="500">
        <v>937610.8700000001</v>
      </c>
      <c r="N58" s="569">
        <v>0.6</v>
      </c>
      <c r="O58" s="570"/>
      <c r="P58" s="570"/>
      <c r="Q58" s="515"/>
      <c r="R58" s="515">
        <v>100000</v>
      </c>
      <c r="S58" s="515">
        <v>400000</v>
      </c>
      <c r="T58" s="515">
        <v>420000</v>
      </c>
      <c r="U58" s="515">
        <v>486416</v>
      </c>
      <c r="V58" s="530"/>
      <c r="W58" s="530"/>
      <c r="X58" s="530"/>
      <c r="Y58" s="156" t="b">
        <f t="shared" si="12"/>
        <v>1</v>
      </c>
      <c r="Z58" s="184">
        <f t="shared" si="13"/>
        <v>0.6</v>
      </c>
      <c r="AA58" s="156" t="b">
        <f t="shared" si="14"/>
        <v>1</v>
      </c>
      <c r="AB58" s="185" t="b">
        <f t="shared" si="15"/>
        <v>1</v>
      </c>
    </row>
    <row r="59" spans="1:28" s="179" customFormat="1" ht="45">
      <c r="A59" s="490">
        <v>57</v>
      </c>
      <c r="B59" s="327" t="s">
        <v>656</v>
      </c>
      <c r="C59" s="323" t="s">
        <v>314</v>
      </c>
      <c r="D59" s="327" t="s">
        <v>321</v>
      </c>
      <c r="E59" s="322">
        <v>1206172</v>
      </c>
      <c r="F59" s="328" t="s">
        <v>130</v>
      </c>
      <c r="G59" s="329" t="s">
        <v>791</v>
      </c>
      <c r="H59" s="330" t="s">
        <v>77</v>
      </c>
      <c r="I59" s="331">
        <v>1.405</v>
      </c>
      <c r="J59" s="508" t="s">
        <v>310</v>
      </c>
      <c r="K59" s="499">
        <v>1134264.18</v>
      </c>
      <c r="L59" s="499">
        <v>567132</v>
      </c>
      <c r="M59" s="562">
        <v>567132.1799999999</v>
      </c>
      <c r="N59" s="563">
        <v>0.5</v>
      </c>
      <c r="O59" s="572"/>
      <c r="P59" s="572"/>
      <c r="Q59" s="321"/>
      <c r="R59" s="321">
        <v>567132</v>
      </c>
      <c r="S59" s="321"/>
      <c r="T59" s="321"/>
      <c r="U59" s="573"/>
      <c r="V59" s="553"/>
      <c r="W59" s="553"/>
      <c r="X59" s="553"/>
      <c r="Y59" s="156" t="b">
        <f t="shared" si="12"/>
        <v>1</v>
      </c>
      <c r="Z59" s="184">
        <f t="shared" si="13"/>
        <v>0.5</v>
      </c>
      <c r="AA59" s="156" t="b">
        <f t="shared" si="14"/>
        <v>1</v>
      </c>
      <c r="AB59" s="185" t="b">
        <f t="shared" si="15"/>
        <v>1</v>
      </c>
    </row>
    <row r="60" spans="1:28" s="179" customFormat="1" ht="45">
      <c r="A60" s="490">
        <v>58</v>
      </c>
      <c r="B60" s="327" t="s">
        <v>658</v>
      </c>
      <c r="C60" s="323" t="s">
        <v>314</v>
      </c>
      <c r="D60" s="327" t="s">
        <v>793</v>
      </c>
      <c r="E60" s="322">
        <v>1206123</v>
      </c>
      <c r="F60" s="328" t="s">
        <v>130</v>
      </c>
      <c r="G60" s="329" t="s">
        <v>794</v>
      </c>
      <c r="H60" s="330" t="s">
        <v>77</v>
      </c>
      <c r="I60" s="331">
        <v>1.211</v>
      </c>
      <c r="J60" s="327" t="s">
        <v>795</v>
      </c>
      <c r="K60" s="499">
        <v>393111.71</v>
      </c>
      <c r="L60" s="499">
        <v>275178</v>
      </c>
      <c r="M60" s="562">
        <v>117933.71000000002</v>
      </c>
      <c r="N60" s="563">
        <v>0.7</v>
      </c>
      <c r="O60" s="572"/>
      <c r="P60" s="572"/>
      <c r="Q60" s="321"/>
      <c r="R60" s="321">
        <v>275178</v>
      </c>
      <c r="S60" s="321"/>
      <c r="T60" s="321"/>
      <c r="U60" s="573"/>
      <c r="V60" s="553"/>
      <c r="W60" s="553"/>
      <c r="X60" s="553"/>
      <c r="Y60" s="156" t="b">
        <f t="shared" si="12"/>
        <v>1</v>
      </c>
      <c r="Z60" s="184">
        <f t="shared" si="13"/>
        <v>0.7</v>
      </c>
      <c r="AA60" s="156" t="b">
        <f t="shared" si="14"/>
        <v>1</v>
      </c>
      <c r="AB60" s="185" t="b">
        <f t="shared" si="15"/>
        <v>1</v>
      </c>
    </row>
    <row r="61" spans="1:28" s="179" customFormat="1" ht="45">
      <c r="A61" s="490">
        <v>59</v>
      </c>
      <c r="B61" s="327" t="s">
        <v>659</v>
      </c>
      <c r="C61" s="323" t="s">
        <v>314</v>
      </c>
      <c r="D61" s="327" t="s">
        <v>793</v>
      </c>
      <c r="E61" s="322">
        <v>1206123</v>
      </c>
      <c r="F61" s="328" t="s">
        <v>130</v>
      </c>
      <c r="G61" s="329" t="s">
        <v>796</v>
      </c>
      <c r="H61" s="330" t="s">
        <v>77</v>
      </c>
      <c r="I61" s="331">
        <v>1.136</v>
      </c>
      <c r="J61" s="508" t="s">
        <v>795</v>
      </c>
      <c r="K61" s="499">
        <v>814242.33</v>
      </c>
      <c r="L61" s="499">
        <v>569969</v>
      </c>
      <c r="M61" s="562">
        <v>244273.32999999996</v>
      </c>
      <c r="N61" s="563">
        <v>0.7</v>
      </c>
      <c r="O61" s="572"/>
      <c r="P61" s="572"/>
      <c r="Q61" s="321"/>
      <c r="R61" s="321">
        <v>569969</v>
      </c>
      <c r="S61" s="321"/>
      <c r="T61" s="321"/>
      <c r="U61" s="573"/>
      <c r="V61" s="553"/>
      <c r="W61" s="553"/>
      <c r="X61" s="553"/>
      <c r="Y61" s="156" t="b">
        <f aca="true" t="shared" si="16" ref="Y61:Y75">L61=SUM(O61:X61)</f>
        <v>1</v>
      </c>
      <c r="Z61" s="184">
        <f aca="true" t="shared" si="17" ref="Z61:Z75">ROUND(L61/K61,4)</f>
        <v>0.7</v>
      </c>
      <c r="AA61" s="156" t="b">
        <f aca="true" t="shared" si="18" ref="AA61:AA75">Z61=N61</f>
        <v>1</v>
      </c>
      <c r="AB61" s="185" t="b">
        <f aca="true" t="shared" si="19" ref="AB61:AB75">K61=L61+M61</f>
        <v>1</v>
      </c>
    </row>
    <row r="62" spans="1:28" s="179" customFormat="1" ht="45">
      <c r="A62" s="490">
        <v>60</v>
      </c>
      <c r="B62" s="327" t="s">
        <v>660</v>
      </c>
      <c r="C62" s="323" t="s">
        <v>314</v>
      </c>
      <c r="D62" s="327" t="s">
        <v>750</v>
      </c>
      <c r="E62" s="322">
        <v>1210042</v>
      </c>
      <c r="F62" s="328" t="s">
        <v>162</v>
      </c>
      <c r="G62" s="329" t="s">
        <v>797</v>
      </c>
      <c r="H62" s="330" t="s">
        <v>77</v>
      </c>
      <c r="I62" s="331">
        <v>1.126</v>
      </c>
      <c r="J62" s="327" t="s">
        <v>307</v>
      </c>
      <c r="K62" s="499">
        <v>1107461.74</v>
      </c>
      <c r="L62" s="499">
        <v>719850</v>
      </c>
      <c r="M62" s="562">
        <v>387611.74</v>
      </c>
      <c r="N62" s="563">
        <v>0.65</v>
      </c>
      <c r="O62" s="572"/>
      <c r="P62" s="572"/>
      <c r="Q62" s="321"/>
      <c r="R62" s="321">
        <v>719850</v>
      </c>
      <c r="S62" s="321"/>
      <c r="T62" s="321"/>
      <c r="U62" s="573"/>
      <c r="V62" s="553"/>
      <c r="W62" s="553"/>
      <c r="X62" s="553"/>
      <c r="Y62" s="156" t="b">
        <f t="shared" si="16"/>
        <v>1</v>
      </c>
      <c r="Z62" s="184">
        <f t="shared" si="17"/>
        <v>0.65</v>
      </c>
      <c r="AA62" s="156" t="b">
        <f t="shared" si="18"/>
        <v>1</v>
      </c>
      <c r="AB62" s="185" t="b">
        <f t="shared" si="19"/>
        <v>1</v>
      </c>
    </row>
    <row r="63" spans="1:28" s="179" customFormat="1" ht="45">
      <c r="A63" s="490">
        <v>61</v>
      </c>
      <c r="B63" s="327" t="s">
        <v>661</v>
      </c>
      <c r="C63" s="323" t="s">
        <v>314</v>
      </c>
      <c r="D63" s="327" t="s">
        <v>798</v>
      </c>
      <c r="E63" s="322">
        <v>1210023</v>
      </c>
      <c r="F63" s="328" t="s">
        <v>162</v>
      </c>
      <c r="G63" s="329" t="s">
        <v>799</v>
      </c>
      <c r="H63" s="330" t="s">
        <v>77</v>
      </c>
      <c r="I63" s="331">
        <v>1.075</v>
      </c>
      <c r="J63" s="327" t="s">
        <v>333</v>
      </c>
      <c r="K63" s="499">
        <v>1218086.7</v>
      </c>
      <c r="L63" s="499">
        <v>730852</v>
      </c>
      <c r="M63" s="562">
        <v>487234.69999999995</v>
      </c>
      <c r="N63" s="563">
        <v>0.6</v>
      </c>
      <c r="O63" s="572"/>
      <c r="P63" s="572"/>
      <c r="Q63" s="321"/>
      <c r="R63" s="321">
        <v>730852</v>
      </c>
      <c r="S63" s="321"/>
      <c r="T63" s="321"/>
      <c r="U63" s="573"/>
      <c r="V63" s="553"/>
      <c r="W63" s="553"/>
      <c r="X63" s="553"/>
      <c r="Y63" s="156" t="b">
        <f t="shared" si="16"/>
        <v>1</v>
      </c>
      <c r="Z63" s="184">
        <f t="shared" si="17"/>
        <v>0.6</v>
      </c>
      <c r="AA63" s="156" t="b">
        <f t="shared" si="18"/>
        <v>1</v>
      </c>
      <c r="AB63" s="185" t="b">
        <f t="shared" si="19"/>
        <v>1</v>
      </c>
    </row>
    <row r="64" spans="1:28" s="179" customFormat="1" ht="45">
      <c r="A64" s="490">
        <v>62</v>
      </c>
      <c r="B64" s="327" t="s">
        <v>662</v>
      </c>
      <c r="C64" s="323" t="s">
        <v>314</v>
      </c>
      <c r="D64" s="327" t="s">
        <v>800</v>
      </c>
      <c r="E64" s="322">
        <v>1208032</v>
      </c>
      <c r="F64" s="328" t="s">
        <v>200</v>
      </c>
      <c r="G64" s="329" t="s">
        <v>801</v>
      </c>
      <c r="H64" s="330" t="s">
        <v>77</v>
      </c>
      <c r="I64" s="331">
        <v>1</v>
      </c>
      <c r="J64" s="508" t="s">
        <v>567</v>
      </c>
      <c r="K64" s="499">
        <v>306928.35</v>
      </c>
      <c r="L64" s="499">
        <v>168810</v>
      </c>
      <c r="M64" s="562">
        <v>138118.34999999998</v>
      </c>
      <c r="N64" s="563">
        <v>0.55</v>
      </c>
      <c r="O64" s="572"/>
      <c r="P64" s="572"/>
      <c r="Q64" s="321"/>
      <c r="R64" s="321">
        <v>168810</v>
      </c>
      <c r="S64" s="321"/>
      <c r="T64" s="321"/>
      <c r="U64" s="573"/>
      <c r="V64" s="553"/>
      <c r="W64" s="553"/>
      <c r="X64" s="553"/>
      <c r="Y64" s="156" t="b">
        <f t="shared" si="16"/>
        <v>1</v>
      </c>
      <c r="Z64" s="184">
        <f t="shared" si="17"/>
        <v>0.55</v>
      </c>
      <c r="AA64" s="156" t="b">
        <f t="shared" si="18"/>
        <v>1</v>
      </c>
      <c r="AB64" s="185" t="b">
        <f t="shared" si="19"/>
        <v>1</v>
      </c>
    </row>
    <row r="65" spans="1:28" s="179" customFormat="1" ht="45">
      <c r="A65" s="490">
        <v>63</v>
      </c>
      <c r="B65" s="327" t="s">
        <v>663</v>
      </c>
      <c r="C65" s="323" t="s">
        <v>314</v>
      </c>
      <c r="D65" s="327" t="s">
        <v>802</v>
      </c>
      <c r="E65" s="574">
        <v>1211072</v>
      </c>
      <c r="F65" s="328" t="s">
        <v>128</v>
      </c>
      <c r="G65" s="329" t="s">
        <v>803</v>
      </c>
      <c r="H65" s="330" t="s">
        <v>77</v>
      </c>
      <c r="I65" s="331">
        <v>0.913</v>
      </c>
      <c r="J65" s="508" t="s">
        <v>333</v>
      </c>
      <c r="K65" s="499">
        <v>696921.69</v>
      </c>
      <c r="L65" s="499">
        <v>452999</v>
      </c>
      <c r="M65" s="562">
        <v>243922.68999999994</v>
      </c>
      <c r="N65" s="563">
        <v>0.65</v>
      </c>
      <c r="O65" s="572"/>
      <c r="P65" s="572"/>
      <c r="Q65" s="321"/>
      <c r="R65" s="321">
        <v>452999</v>
      </c>
      <c r="S65" s="321"/>
      <c r="T65" s="321"/>
      <c r="U65" s="573"/>
      <c r="V65" s="553"/>
      <c r="W65" s="553"/>
      <c r="X65" s="553"/>
      <c r="Y65" s="156" t="b">
        <f t="shared" si="16"/>
        <v>1</v>
      </c>
      <c r="Z65" s="184">
        <f t="shared" si="17"/>
        <v>0.65</v>
      </c>
      <c r="AA65" s="156" t="b">
        <f t="shared" si="18"/>
        <v>1</v>
      </c>
      <c r="AB65" s="185" t="b">
        <f t="shared" si="19"/>
        <v>1</v>
      </c>
    </row>
    <row r="66" spans="1:28" s="179" customFormat="1" ht="30">
      <c r="A66" s="490">
        <v>64</v>
      </c>
      <c r="B66" s="327" t="s">
        <v>664</v>
      </c>
      <c r="C66" s="323" t="s">
        <v>314</v>
      </c>
      <c r="D66" s="327" t="s">
        <v>804</v>
      </c>
      <c r="E66" s="322">
        <v>1210082</v>
      </c>
      <c r="F66" s="328" t="s">
        <v>162</v>
      </c>
      <c r="G66" s="329" t="s">
        <v>805</v>
      </c>
      <c r="H66" s="330" t="s">
        <v>77</v>
      </c>
      <c r="I66" s="331">
        <v>0.774</v>
      </c>
      <c r="J66" s="508" t="s">
        <v>720</v>
      </c>
      <c r="K66" s="499">
        <v>715535.18</v>
      </c>
      <c r="L66" s="499">
        <v>393544</v>
      </c>
      <c r="M66" s="562">
        <v>321991.18000000005</v>
      </c>
      <c r="N66" s="563">
        <v>0.55</v>
      </c>
      <c r="O66" s="572"/>
      <c r="P66" s="572"/>
      <c r="Q66" s="321"/>
      <c r="R66" s="321">
        <v>393544</v>
      </c>
      <c r="S66" s="321"/>
      <c r="T66" s="321"/>
      <c r="U66" s="573"/>
      <c r="V66" s="553"/>
      <c r="W66" s="553"/>
      <c r="X66" s="553"/>
      <c r="Y66" s="156" t="b">
        <f t="shared" si="16"/>
        <v>1</v>
      </c>
      <c r="Z66" s="184">
        <f t="shared" si="17"/>
        <v>0.55</v>
      </c>
      <c r="AA66" s="156" t="b">
        <f t="shared" si="18"/>
        <v>1</v>
      </c>
      <c r="AB66" s="185" t="b">
        <f t="shared" si="19"/>
        <v>1</v>
      </c>
    </row>
    <row r="67" spans="1:28" s="179" customFormat="1" ht="45">
      <c r="A67" s="490">
        <v>65</v>
      </c>
      <c r="B67" s="327" t="s">
        <v>665</v>
      </c>
      <c r="C67" s="323" t="s">
        <v>314</v>
      </c>
      <c r="D67" s="327" t="s">
        <v>783</v>
      </c>
      <c r="E67" s="322">
        <v>1218072</v>
      </c>
      <c r="F67" s="328" t="s">
        <v>147</v>
      </c>
      <c r="G67" s="329" t="s">
        <v>806</v>
      </c>
      <c r="H67" s="330" t="s">
        <v>77</v>
      </c>
      <c r="I67" s="331">
        <v>0.693</v>
      </c>
      <c r="J67" s="508" t="s">
        <v>785</v>
      </c>
      <c r="K67" s="499">
        <v>239592.66</v>
      </c>
      <c r="L67" s="499">
        <v>155735</v>
      </c>
      <c r="M67" s="562">
        <v>83857.66</v>
      </c>
      <c r="N67" s="563">
        <v>0.65</v>
      </c>
      <c r="O67" s="572"/>
      <c r="P67" s="572"/>
      <c r="Q67" s="321"/>
      <c r="R67" s="321">
        <v>155735</v>
      </c>
      <c r="S67" s="321"/>
      <c r="T67" s="321"/>
      <c r="U67" s="573"/>
      <c r="V67" s="553"/>
      <c r="W67" s="553"/>
      <c r="X67" s="553"/>
      <c r="Y67" s="156" t="b">
        <f t="shared" si="16"/>
        <v>1</v>
      </c>
      <c r="Z67" s="184">
        <f t="shared" si="17"/>
        <v>0.65</v>
      </c>
      <c r="AA67" s="156" t="b">
        <f t="shared" si="18"/>
        <v>1</v>
      </c>
      <c r="AB67" s="185" t="b">
        <f t="shared" si="19"/>
        <v>1</v>
      </c>
    </row>
    <row r="68" spans="1:28" s="179" customFormat="1" ht="45">
      <c r="A68" s="490">
        <v>66</v>
      </c>
      <c r="B68" s="327" t="s">
        <v>666</v>
      </c>
      <c r="C68" s="323" t="s">
        <v>314</v>
      </c>
      <c r="D68" s="327" t="s">
        <v>807</v>
      </c>
      <c r="E68" s="574">
        <v>1216112</v>
      </c>
      <c r="F68" s="328" t="s">
        <v>161</v>
      </c>
      <c r="G68" s="329" t="s">
        <v>808</v>
      </c>
      <c r="H68" s="330" t="s">
        <v>77</v>
      </c>
      <c r="I68" s="331">
        <v>0.462</v>
      </c>
      <c r="J68" s="508" t="s">
        <v>307</v>
      </c>
      <c r="K68" s="499">
        <v>356350.91</v>
      </c>
      <c r="L68" s="499">
        <v>231628</v>
      </c>
      <c r="M68" s="562">
        <v>124722.90999999997</v>
      </c>
      <c r="N68" s="563">
        <v>0.65</v>
      </c>
      <c r="O68" s="572"/>
      <c r="P68" s="572"/>
      <c r="Q68" s="321"/>
      <c r="R68" s="321">
        <v>231628</v>
      </c>
      <c r="S68" s="321"/>
      <c r="T68" s="321"/>
      <c r="U68" s="573"/>
      <c r="V68" s="553"/>
      <c r="W68" s="553"/>
      <c r="X68" s="553"/>
      <c r="Y68" s="156" t="b">
        <f t="shared" si="16"/>
        <v>1</v>
      </c>
      <c r="Z68" s="184">
        <f t="shared" si="17"/>
        <v>0.65</v>
      </c>
      <c r="AA68" s="156" t="b">
        <f t="shared" si="18"/>
        <v>1</v>
      </c>
      <c r="AB68" s="185" t="b">
        <f t="shared" si="19"/>
        <v>1</v>
      </c>
    </row>
    <row r="69" spans="1:28" s="179" customFormat="1" ht="45">
      <c r="A69" s="490">
        <v>67</v>
      </c>
      <c r="B69" s="327" t="s">
        <v>667</v>
      </c>
      <c r="C69" s="323" t="s">
        <v>314</v>
      </c>
      <c r="D69" s="327" t="s">
        <v>809</v>
      </c>
      <c r="E69" s="322">
        <v>1202052</v>
      </c>
      <c r="F69" s="328" t="s">
        <v>152</v>
      </c>
      <c r="G69" s="329" t="s">
        <v>810</v>
      </c>
      <c r="H69" s="330" t="s">
        <v>77</v>
      </c>
      <c r="I69" s="331">
        <v>0.395</v>
      </c>
      <c r="J69" s="508" t="s">
        <v>949</v>
      </c>
      <c r="K69" s="499">
        <v>245944.92</v>
      </c>
      <c r="L69" s="499">
        <v>159864</v>
      </c>
      <c r="M69" s="562">
        <v>86080.92000000001</v>
      </c>
      <c r="N69" s="563">
        <v>0.65</v>
      </c>
      <c r="O69" s="572"/>
      <c r="P69" s="572"/>
      <c r="Q69" s="321"/>
      <c r="R69" s="321">
        <v>159864</v>
      </c>
      <c r="S69" s="321"/>
      <c r="T69" s="321"/>
      <c r="U69" s="573"/>
      <c r="V69" s="553"/>
      <c r="W69" s="553"/>
      <c r="X69" s="553"/>
      <c r="Y69" s="156" t="b">
        <f t="shared" si="16"/>
        <v>1</v>
      </c>
      <c r="Z69" s="184">
        <f t="shared" si="17"/>
        <v>0.65</v>
      </c>
      <c r="AA69" s="156" t="b">
        <f t="shared" si="18"/>
        <v>1</v>
      </c>
      <c r="AB69" s="185" t="b">
        <f t="shared" si="19"/>
        <v>1</v>
      </c>
    </row>
    <row r="70" spans="1:28" s="179" customFormat="1" ht="30">
      <c r="A70" s="490">
        <v>68</v>
      </c>
      <c r="B70" s="327" t="s">
        <v>668</v>
      </c>
      <c r="C70" s="323" t="s">
        <v>314</v>
      </c>
      <c r="D70" s="327" t="s">
        <v>811</v>
      </c>
      <c r="E70" s="574">
        <v>1216042</v>
      </c>
      <c r="F70" s="328" t="s">
        <v>161</v>
      </c>
      <c r="G70" s="329" t="s">
        <v>812</v>
      </c>
      <c r="H70" s="330" t="s">
        <v>77</v>
      </c>
      <c r="I70" s="331">
        <v>0.39</v>
      </c>
      <c r="J70" s="508" t="s">
        <v>813</v>
      </c>
      <c r="K70" s="499">
        <v>280000</v>
      </c>
      <c r="L70" s="499">
        <v>182000</v>
      </c>
      <c r="M70" s="562">
        <v>98000</v>
      </c>
      <c r="N70" s="563">
        <v>0.65</v>
      </c>
      <c r="O70" s="572"/>
      <c r="P70" s="572"/>
      <c r="Q70" s="321"/>
      <c r="R70" s="321">
        <v>182000</v>
      </c>
      <c r="S70" s="321"/>
      <c r="T70" s="321"/>
      <c r="U70" s="573"/>
      <c r="V70" s="553"/>
      <c r="W70" s="553"/>
      <c r="X70" s="553"/>
      <c r="Y70" s="156" t="b">
        <f t="shared" si="16"/>
        <v>1</v>
      </c>
      <c r="Z70" s="184">
        <f t="shared" si="17"/>
        <v>0.65</v>
      </c>
      <c r="AA70" s="156" t="b">
        <f t="shared" si="18"/>
        <v>1</v>
      </c>
      <c r="AB70" s="185" t="b">
        <f t="shared" si="19"/>
        <v>1</v>
      </c>
    </row>
    <row r="71" spans="1:28" s="179" customFormat="1" ht="45">
      <c r="A71" s="490">
        <v>69</v>
      </c>
      <c r="B71" s="327" t="s">
        <v>669</v>
      </c>
      <c r="C71" s="323" t="s">
        <v>314</v>
      </c>
      <c r="D71" s="327" t="s">
        <v>541</v>
      </c>
      <c r="E71" s="322">
        <v>1211023</v>
      </c>
      <c r="F71" s="328" t="s">
        <v>128</v>
      </c>
      <c r="G71" s="329" t="s">
        <v>814</v>
      </c>
      <c r="H71" s="330" t="s">
        <v>77</v>
      </c>
      <c r="I71" s="331">
        <v>0.286</v>
      </c>
      <c r="J71" s="327" t="s">
        <v>815</v>
      </c>
      <c r="K71" s="499">
        <v>858309.29</v>
      </c>
      <c r="L71" s="499">
        <v>514985</v>
      </c>
      <c r="M71" s="562">
        <v>343324.29000000004</v>
      </c>
      <c r="N71" s="563">
        <v>0.6</v>
      </c>
      <c r="O71" s="572"/>
      <c r="P71" s="572"/>
      <c r="Q71" s="321"/>
      <c r="R71" s="321">
        <v>514985</v>
      </c>
      <c r="S71" s="321"/>
      <c r="T71" s="321"/>
      <c r="U71" s="573"/>
      <c r="V71" s="553"/>
      <c r="W71" s="553"/>
      <c r="X71" s="553"/>
      <c r="Y71" s="156" t="b">
        <f t="shared" si="16"/>
        <v>1</v>
      </c>
      <c r="Z71" s="184">
        <f t="shared" si="17"/>
        <v>0.6</v>
      </c>
      <c r="AA71" s="156" t="b">
        <f t="shared" si="18"/>
        <v>1</v>
      </c>
      <c r="AB71" s="185" t="b">
        <f t="shared" si="19"/>
        <v>1</v>
      </c>
    </row>
    <row r="72" spans="1:28" s="179" customFormat="1" ht="30">
      <c r="A72" s="490">
        <v>70</v>
      </c>
      <c r="B72" s="327" t="s">
        <v>670</v>
      </c>
      <c r="C72" s="323" t="s">
        <v>314</v>
      </c>
      <c r="D72" s="327" t="s">
        <v>811</v>
      </c>
      <c r="E72" s="322">
        <v>1216042</v>
      </c>
      <c r="F72" s="328" t="s">
        <v>161</v>
      </c>
      <c r="G72" s="329" t="s">
        <v>816</v>
      </c>
      <c r="H72" s="330" t="s">
        <v>77</v>
      </c>
      <c r="I72" s="331">
        <v>0.26</v>
      </c>
      <c r="J72" s="508" t="s">
        <v>817</v>
      </c>
      <c r="K72" s="499">
        <v>300370.06</v>
      </c>
      <c r="L72" s="499">
        <v>195240</v>
      </c>
      <c r="M72" s="562">
        <v>105130.06</v>
      </c>
      <c r="N72" s="563">
        <v>0.65</v>
      </c>
      <c r="O72" s="572"/>
      <c r="P72" s="572"/>
      <c r="Q72" s="321"/>
      <c r="R72" s="321">
        <v>195240</v>
      </c>
      <c r="S72" s="321"/>
      <c r="T72" s="321"/>
      <c r="U72" s="573"/>
      <c r="V72" s="553"/>
      <c r="W72" s="553"/>
      <c r="X72" s="553"/>
      <c r="Y72" s="156" t="b">
        <f t="shared" si="16"/>
        <v>1</v>
      </c>
      <c r="Z72" s="184">
        <f t="shared" si="17"/>
        <v>0.65</v>
      </c>
      <c r="AA72" s="156" t="b">
        <f t="shared" si="18"/>
        <v>1</v>
      </c>
      <c r="AB72" s="185" t="b">
        <f t="shared" si="19"/>
        <v>1</v>
      </c>
    </row>
    <row r="73" spans="1:28" s="179" customFormat="1" ht="45">
      <c r="A73" s="490">
        <v>71</v>
      </c>
      <c r="B73" s="327" t="s">
        <v>671</v>
      </c>
      <c r="C73" s="323" t="s">
        <v>314</v>
      </c>
      <c r="D73" s="327" t="s">
        <v>802</v>
      </c>
      <c r="E73" s="322">
        <v>1211072</v>
      </c>
      <c r="F73" s="328" t="s">
        <v>128</v>
      </c>
      <c r="G73" s="329" t="s">
        <v>818</v>
      </c>
      <c r="H73" s="330" t="s">
        <v>77</v>
      </c>
      <c r="I73" s="331">
        <v>0.175</v>
      </c>
      <c r="J73" s="508" t="s">
        <v>333</v>
      </c>
      <c r="K73" s="499">
        <v>119556.07</v>
      </c>
      <c r="L73" s="499">
        <v>77711</v>
      </c>
      <c r="M73" s="562">
        <v>41845.07000000001</v>
      </c>
      <c r="N73" s="563">
        <v>0.65</v>
      </c>
      <c r="O73" s="572"/>
      <c r="P73" s="572"/>
      <c r="Q73" s="321"/>
      <c r="R73" s="321">
        <v>77711</v>
      </c>
      <c r="S73" s="321"/>
      <c r="T73" s="321"/>
      <c r="U73" s="573"/>
      <c r="V73" s="553"/>
      <c r="W73" s="553"/>
      <c r="X73" s="553"/>
      <c r="Y73" s="156" t="b">
        <f t="shared" si="16"/>
        <v>1</v>
      </c>
      <c r="Z73" s="184">
        <f t="shared" si="17"/>
        <v>0.65</v>
      </c>
      <c r="AA73" s="156" t="b">
        <f t="shared" si="18"/>
        <v>1</v>
      </c>
      <c r="AB73" s="185" t="b">
        <f t="shared" si="19"/>
        <v>1</v>
      </c>
    </row>
    <row r="74" spans="1:28" s="157" customFormat="1" ht="45">
      <c r="A74" s="490">
        <v>72</v>
      </c>
      <c r="B74" s="477" t="s">
        <v>672</v>
      </c>
      <c r="C74" s="512" t="s">
        <v>313</v>
      </c>
      <c r="D74" s="477" t="s">
        <v>286</v>
      </c>
      <c r="E74" s="486">
        <v>1219053</v>
      </c>
      <c r="F74" s="554" t="s">
        <v>150</v>
      </c>
      <c r="G74" s="487" t="s">
        <v>819</v>
      </c>
      <c r="H74" s="501" t="s">
        <v>72</v>
      </c>
      <c r="I74" s="502">
        <v>0.27264</v>
      </c>
      <c r="J74" s="369" t="s">
        <v>964</v>
      </c>
      <c r="K74" s="471">
        <v>1544132.06</v>
      </c>
      <c r="L74" s="471">
        <v>772066</v>
      </c>
      <c r="M74" s="500">
        <v>772066.06</v>
      </c>
      <c r="N74" s="569">
        <v>0.5</v>
      </c>
      <c r="O74" s="570"/>
      <c r="P74" s="570"/>
      <c r="Q74" s="515"/>
      <c r="R74" s="515">
        <v>206063</v>
      </c>
      <c r="S74" s="515">
        <v>566003</v>
      </c>
      <c r="T74" s="515"/>
      <c r="U74" s="571"/>
      <c r="V74" s="530"/>
      <c r="W74" s="530"/>
      <c r="X74" s="530"/>
      <c r="Y74" s="156" t="b">
        <f t="shared" si="16"/>
        <v>1</v>
      </c>
      <c r="Z74" s="184">
        <f t="shared" si="17"/>
        <v>0.5</v>
      </c>
      <c r="AA74" s="156" t="b">
        <f t="shared" si="18"/>
        <v>1</v>
      </c>
      <c r="AB74" s="185" t="b">
        <f t="shared" si="19"/>
        <v>1</v>
      </c>
    </row>
    <row r="75" spans="1:28" s="179" customFormat="1" ht="45">
      <c r="A75" s="490">
        <v>73</v>
      </c>
      <c r="B75" s="327" t="s">
        <v>673</v>
      </c>
      <c r="C75" s="323" t="s">
        <v>314</v>
      </c>
      <c r="D75" s="327" t="s">
        <v>820</v>
      </c>
      <c r="E75" s="322">
        <v>1213033</v>
      </c>
      <c r="F75" s="328" t="s">
        <v>142</v>
      </c>
      <c r="G75" s="329" t="s">
        <v>821</v>
      </c>
      <c r="H75" s="330" t="s">
        <v>74</v>
      </c>
      <c r="I75" s="331">
        <v>0.18982</v>
      </c>
      <c r="J75" s="508" t="s">
        <v>815</v>
      </c>
      <c r="K75" s="499">
        <v>340845.6</v>
      </c>
      <c r="L75" s="499">
        <v>204507</v>
      </c>
      <c r="M75" s="562">
        <v>136338.59999999998</v>
      </c>
      <c r="N75" s="563">
        <v>0.6</v>
      </c>
      <c r="O75" s="572"/>
      <c r="P75" s="572"/>
      <c r="Q75" s="321"/>
      <c r="R75" s="321">
        <v>204507</v>
      </c>
      <c r="S75" s="321"/>
      <c r="T75" s="321"/>
      <c r="U75" s="573"/>
      <c r="V75" s="553"/>
      <c r="W75" s="553"/>
      <c r="X75" s="553"/>
      <c r="Y75" s="156" t="b">
        <f t="shared" si="16"/>
        <v>1</v>
      </c>
      <c r="Z75" s="184">
        <f t="shared" si="17"/>
        <v>0.6</v>
      </c>
      <c r="AA75" s="156" t="b">
        <f t="shared" si="18"/>
        <v>1</v>
      </c>
      <c r="AB75" s="185" t="b">
        <f t="shared" si="19"/>
        <v>1</v>
      </c>
    </row>
    <row r="76" spans="1:28" s="179" customFormat="1" ht="45">
      <c r="A76" s="490">
        <v>74</v>
      </c>
      <c r="B76" s="327" t="s">
        <v>674</v>
      </c>
      <c r="C76" s="323" t="s">
        <v>314</v>
      </c>
      <c r="D76" s="327" t="s">
        <v>822</v>
      </c>
      <c r="E76" s="322">
        <v>1205072</v>
      </c>
      <c r="F76" s="328" t="s">
        <v>154</v>
      </c>
      <c r="G76" s="329" t="s">
        <v>823</v>
      </c>
      <c r="H76" s="330" t="s">
        <v>77</v>
      </c>
      <c r="I76" s="331">
        <v>2.126</v>
      </c>
      <c r="J76" s="508" t="s">
        <v>310</v>
      </c>
      <c r="K76" s="499">
        <v>1053737.46</v>
      </c>
      <c r="L76" s="499">
        <v>684929</v>
      </c>
      <c r="M76" s="562">
        <v>368808.45999999996</v>
      </c>
      <c r="N76" s="563">
        <v>0.65</v>
      </c>
      <c r="O76" s="572"/>
      <c r="P76" s="572"/>
      <c r="Q76" s="321"/>
      <c r="R76" s="321">
        <v>684929</v>
      </c>
      <c r="S76" s="321"/>
      <c r="T76" s="321"/>
      <c r="U76" s="573"/>
      <c r="V76" s="553"/>
      <c r="W76" s="553"/>
      <c r="X76" s="553"/>
      <c r="Y76" s="156" t="b">
        <f aca="true" t="shared" si="20" ref="Y76:Y88">L76=SUM(O76:X76)</f>
        <v>1</v>
      </c>
      <c r="Z76" s="184">
        <f aca="true" t="shared" si="21" ref="Z76:Z88">ROUND(L76/K76,4)</f>
        <v>0.65</v>
      </c>
      <c r="AA76" s="156" t="b">
        <f aca="true" t="shared" si="22" ref="AA76:AA88">Z76=N76</f>
        <v>1</v>
      </c>
      <c r="AB76" s="185" t="b">
        <f aca="true" t="shared" si="23" ref="AB76:AB88">K76=L76+M76</f>
        <v>1</v>
      </c>
    </row>
    <row r="77" spans="1:28" s="179" customFormat="1" ht="60">
      <c r="A77" s="490">
        <v>75</v>
      </c>
      <c r="B77" s="327" t="s">
        <v>675</v>
      </c>
      <c r="C77" s="323" t="s">
        <v>314</v>
      </c>
      <c r="D77" s="327" t="s">
        <v>285</v>
      </c>
      <c r="E77" s="322">
        <v>1217032</v>
      </c>
      <c r="F77" s="328" t="s">
        <v>139</v>
      </c>
      <c r="G77" s="329" t="s">
        <v>988</v>
      </c>
      <c r="H77" s="330" t="s">
        <v>77</v>
      </c>
      <c r="I77" s="331">
        <v>0.937</v>
      </c>
      <c r="J77" s="508" t="s">
        <v>302</v>
      </c>
      <c r="K77" s="499">
        <v>2432926.21</v>
      </c>
      <c r="L77" s="499">
        <v>1216463</v>
      </c>
      <c r="M77" s="562">
        <v>1216463.21</v>
      </c>
      <c r="N77" s="563">
        <v>0.5</v>
      </c>
      <c r="O77" s="572"/>
      <c r="P77" s="572"/>
      <c r="Q77" s="321"/>
      <c r="R77" s="321">
        <v>1216463</v>
      </c>
      <c r="S77" s="321"/>
      <c r="T77" s="321"/>
      <c r="U77" s="573"/>
      <c r="V77" s="553"/>
      <c r="W77" s="553"/>
      <c r="X77" s="553"/>
      <c r="Y77" s="156" t="b">
        <f t="shared" si="20"/>
        <v>1</v>
      </c>
      <c r="Z77" s="184">
        <f t="shared" si="21"/>
        <v>0.5</v>
      </c>
      <c r="AA77" s="156" t="b">
        <f t="shared" si="22"/>
        <v>1</v>
      </c>
      <c r="AB77" s="185" t="b">
        <f t="shared" si="23"/>
        <v>1</v>
      </c>
    </row>
    <row r="78" spans="1:28" s="179" customFormat="1" ht="45">
      <c r="A78" s="490">
        <v>76</v>
      </c>
      <c r="B78" s="327" t="s">
        <v>676</v>
      </c>
      <c r="C78" s="323" t="s">
        <v>314</v>
      </c>
      <c r="D78" s="327" t="s">
        <v>824</v>
      </c>
      <c r="E78" s="322">
        <v>1218052</v>
      </c>
      <c r="F78" s="328" t="s">
        <v>147</v>
      </c>
      <c r="G78" s="329" t="s">
        <v>825</v>
      </c>
      <c r="H78" s="330" t="s">
        <v>77</v>
      </c>
      <c r="I78" s="331">
        <v>0.8</v>
      </c>
      <c r="J78" s="508" t="s">
        <v>299</v>
      </c>
      <c r="K78" s="499">
        <v>712345.11</v>
      </c>
      <c r="L78" s="499">
        <v>391789</v>
      </c>
      <c r="M78" s="562">
        <v>320556.11</v>
      </c>
      <c r="N78" s="563">
        <v>0.55</v>
      </c>
      <c r="O78" s="572"/>
      <c r="P78" s="572"/>
      <c r="Q78" s="321"/>
      <c r="R78" s="321">
        <v>391789</v>
      </c>
      <c r="S78" s="321"/>
      <c r="T78" s="321"/>
      <c r="U78" s="573"/>
      <c r="V78" s="553"/>
      <c r="W78" s="553"/>
      <c r="X78" s="553"/>
      <c r="Y78" s="156" t="b">
        <f t="shared" si="20"/>
        <v>1</v>
      </c>
      <c r="Z78" s="184">
        <f t="shared" si="21"/>
        <v>0.55</v>
      </c>
      <c r="AA78" s="156" t="b">
        <f t="shared" si="22"/>
        <v>1</v>
      </c>
      <c r="AB78" s="185" t="b">
        <f t="shared" si="23"/>
        <v>1</v>
      </c>
    </row>
    <row r="79" spans="1:28" s="179" customFormat="1" ht="45">
      <c r="A79" s="490">
        <v>77</v>
      </c>
      <c r="B79" s="327" t="s">
        <v>677</v>
      </c>
      <c r="C79" s="323" t="s">
        <v>314</v>
      </c>
      <c r="D79" s="327" t="s">
        <v>826</v>
      </c>
      <c r="E79" s="322">
        <v>1215092</v>
      </c>
      <c r="F79" s="328" t="s">
        <v>576</v>
      </c>
      <c r="G79" s="329" t="s">
        <v>827</v>
      </c>
      <c r="H79" s="330" t="s">
        <v>77</v>
      </c>
      <c r="I79" s="331">
        <v>0.6543</v>
      </c>
      <c r="J79" s="327" t="s">
        <v>828</v>
      </c>
      <c r="K79" s="499">
        <v>766846.42</v>
      </c>
      <c r="L79" s="499">
        <v>498450</v>
      </c>
      <c r="M79" s="562">
        <v>268396.42000000004</v>
      </c>
      <c r="N79" s="563">
        <v>0.65</v>
      </c>
      <c r="O79" s="572"/>
      <c r="P79" s="572"/>
      <c r="Q79" s="321"/>
      <c r="R79" s="321">
        <v>498450</v>
      </c>
      <c r="S79" s="321"/>
      <c r="T79" s="321"/>
      <c r="U79" s="573"/>
      <c r="V79" s="553"/>
      <c r="W79" s="553"/>
      <c r="X79" s="553"/>
      <c r="Y79" s="156" t="b">
        <f t="shared" si="20"/>
        <v>1</v>
      </c>
      <c r="Z79" s="184">
        <f t="shared" si="21"/>
        <v>0.65</v>
      </c>
      <c r="AA79" s="156" t="b">
        <f t="shared" si="22"/>
        <v>1</v>
      </c>
      <c r="AB79" s="185" t="b">
        <f t="shared" si="23"/>
        <v>1</v>
      </c>
    </row>
    <row r="80" spans="1:28" s="179" customFormat="1" ht="45">
      <c r="A80" s="490">
        <v>78</v>
      </c>
      <c r="B80" s="327" t="s">
        <v>678</v>
      </c>
      <c r="C80" s="323" t="s">
        <v>314</v>
      </c>
      <c r="D80" s="327" t="s">
        <v>829</v>
      </c>
      <c r="E80" s="322">
        <v>1207122</v>
      </c>
      <c r="F80" s="328" t="s">
        <v>298</v>
      </c>
      <c r="G80" s="329" t="s">
        <v>830</v>
      </c>
      <c r="H80" s="330" t="s">
        <v>77</v>
      </c>
      <c r="I80" s="331">
        <v>0.562</v>
      </c>
      <c r="J80" s="508" t="s">
        <v>831</v>
      </c>
      <c r="K80" s="499">
        <v>420010.61</v>
      </c>
      <c r="L80" s="499">
        <v>273006</v>
      </c>
      <c r="M80" s="562">
        <v>147004.61</v>
      </c>
      <c r="N80" s="563">
        <v>0.65</v>
      </c>
      <c r="O80" s="572"/>
      <c r="P80" s="572"/>
      <c r="Q80" s="321"/>
      <c r="R80" s="321">
        <v>273006</v>
      </c>
      <c r="S80" s="321"/>
      <c r="T80" s="321"/>
      <c r="U80" s="573"/>
      <c r="V80" s="553"/>
      <c r="W80" s="553"/>
      <c r="X80" s="553"/>
      <c r="Y80" s="156" t="b">
        <f t="shared" si="20"/>
        <v>1</v>
      </c>
      <c r="Z80" s="184">
        <f t="shared" si="21"/>
        <v>0.65</v>
      </c>
      <c r="AA80" s="156" t="b">
        <f t="shared" si="22"/>
        <v>1</v>
      </c>
      <c r="AB80" s="185" t="b">
        <f t="shared" si="23"/>
        <v>1</v>
      </c>
    </row>
    <row r="81" spans="1:28" s="179" customFormat="1" ht="90">
      <c r="A81" s="490">
        <v>79</v>
      </c>
      <c r="B81" s="327" t="s">
        <v>680</v>
      </c>
      <c r="C81" s="323" t="s">
        <v>314</v>
      </c>
      <c r="D81" s="327" t="s">
        <v>807</v>
      </c>
      <c r="E81" s="322">
        <v>1216112</v>
      </c>
      <c r="F81" s="328" t="s">
        <v>161</v>
      </c>
      <c r="G81" s="329" t="s">
        <v>834</v>
      </c>
      <c r="H81" s="330" t="s">
        <v>77</v>
      </c>
      <c r="I81" s="331">
        <v>0.462</v>
      </c>
      <c r="J81" s="508" t="s">
        <v>307</v>
      </c>
      <c r="K81" s="499">
        <v>363878.67</v>
      </c>
      <c r="L81" s="499">
        <v>236521</v>
      </c>
      <c r="M81" s="562">
        <v>127357.66999999998</v>
      </c>
      <c r="N81" s="563">
        <v>0.65</v>
      </c>
      <c r="O81" s="572"/>
      <c r="P81" s="572"/>
      <c r="Q81" s="321"/>
      <c r="R81" s="321">
        <v>236521</v>
      </c>
      <c r="S81" s="321"/>
      <c r="T81" s="321"/>
      <c r="U81" s="573"/>
      <c r="V81" s="553"/>
      <c r="W81" s="553"/>
      <c r="X81" s="553"/>
      <c r="Y81" s="156" t="b">
        <f t="shared" si="20"/>
        <v>1</v>
      </c>
      <c r="Z81" s="184">
        <f t="shared" si="21"/>
        <v>0.65</v>
      </c>
      <c r="AA81" s="156" t="b">
        <f t="shared" si="22"/>
        <v>1</v>
      </c>
      <c r="AB81" s="185" t="b">
        <f t="shared" si="23"/>
        <v>1</v>
      </c>
    </row>
    <row r="82" spans="1:28" s="179" customFormat="1" ht="45">
      <c r="A82" s="490">
        <v>80</v>
      </c>
      <c r="B82" s="327" t="s">
        <v>681</v>
      </c>
      <c r="C82" s="323" t="s">
        <v>314</v>
      </c>
      <c r="D82" s="327" t="s">
        <v>180</v>
      </c>
      <c r="E82" s="574">
        <v>1205052</v>
      </c>
      <c r="F82" s="328" t="s">
        <v>154</v>
      </c>
      <c r="G82" s="329" t="s">
        <v>835</v>
      </c>
      <c r="H82" s="330" t="s">
        <v>77</v>
      </c>
      <c r="I82" s="331">
        <v>0.382</v>
      </c>
      <c r="J82" s="508" t="s">
        <v>311</v>
      </c>
      <c r="K82" s="499">
        <v>107720.89</v>
      </c>
      <c r="L82" s="499">
        <v>70018</v>
      </c>
      <c r="M82" s="562">
        <v>37702.89</v>
      </c>
      <c r="N82" s="563">
        <v>0.65</v>
      </c>
      <c r="O82" s="572"/>
      <c r="P82" s="572"/>
      <c r="Q82" s="321"/>
      <c r="R82" s="321">
        <v>70018</v>
      </c>
      <c r="S82" s="321"/>
      <c r="T82" s="321"/>
      <c r="U82" s="573"/>
      <c r="V82" s="553"/>
      <c r="W82" s="553"/>
      <c r="X82" s="553"/>
      <c r="Y82" s="156" t="b">
        <f t="shared" si="20"/>
        <v>1</v>
      </c>
      <c r="Z82" s="184">
        <f t="shared" si="21"/>
        <v>0.65</v>
      </c>
      <c r="AA82" s="156" t="b">
        <f t="shared" si="22"/>
        <v>1</v>
      </c>
      <c r="AB82" s="185" t="b">
        <f t="shared" si="23"/>
        <v>1</v>
      </c>
    </row>
    <row r="83" spans="1:28" s="179" customFormat="1" ht="60">
      <c r="A83" s="490">
        <v>81</v>
      </c>
      <c r="B83" s="327" t="s">
        <v>683</v>
      </c>
      <c r="C83" s="323" t="s">
        <v>314</v>
      </c>
      <c r="D83" s="327" t="s">
        <v>773</v>
      </c>
      <c r="E83" s="322">
        <v>1207062</v>
      </c>
      <c r="F83" s="328" t="s">
        <v>298</v>
      </c>
      <c r="G83" s="329" t="s">
        <v>839</v>
      </c>
      <c r="H83" s="330" t="s">
        <v>74</v>
      </c>
      <c r="I83" s="331">
        <v>0.1</v>
      </c>
      <c r="J83" s="508" t="s">
        <v>840</v>
      </c>
      <c r="K83" s="499">
        <v>928869.22</v>
      </c>
      <c r="L83" s="499">
        <v>557321</v>
      </c>
      <c r="M83" s="562">
        <v>371548.22</v>
      </c>
      <c r="N83" s="563">
        <v>0.6</v>
      </c>
      <c r="O83" s="572"/>
      <c r="P83" s="572"/>
      <c r="Q83" s="321"/>
      <c r="R83" s="321">
        <v>557321</v>
      </c>
      <c r="S83" s="321"/>
      <c r="T83" s="321"/>
      <c r="U83" s="573"/>
      <c r="V83" s="553"/>
      <c r="W83" s="553"/>
      <c r="X83" s="553"/>
      <c r="Y83" s="156" t="b">
        <f t="shared" si="20"/>
        <v>1</v>
      </c>
      <c r="Z83" s="184">
        <f t="shared" si="21"/>
        <v>0.6</v>
      </c>
      <c r="AA83" s="156" t="b">
        <f t="shared" si="22"/>
        <v>1</v>
      </c>
      <c r="AB83" s="185" t="b">
        <f t="shared" si="23"/>
        <v>1</v>
      </c>
    </row>
    <row r="84" spans="1:28" s="179" customFormat="1" ht="45">
      <c r="A84" s="490">
        <v>82</v>
      </c>
      <c r="B84" s="327" t="s">
        <v>684</v>
      </c>
      <c r="C84" s="323" t="s">
        <v>314</v>
      </c>
      <c r="D84" s="327" t="s">
        <v>832</v>
      </c>
      <c r="E84" s="322">
        <v>1212062</v>
      </c>
      <c r="F84" s="328" t="s">
        <v>167</v>
      </c>
      <c r="G84" s="329" t="s">
        <v>841</v>
      </c>
      <c r="H84" s="330" t="s">
        <v>77</v>
      </c>
      <c r="I84" s="331">
        <v>1.49</v>
      </c>
      <c r="J84" s="508" t="s">
        <v>304</v>
      </c>
      <c r="K84" s="499">
        <v>432534.74</v>
      </c>
      <c r="L84" s="499">
        <v>237894</v>
      </c>
      <c r="M84" s="562">
        <v>194640.74</v>
      </c>
      <c r="N84" s="563">
        <v>0.55</v>
      </c>
      <c r="O84" s="572"/>
      <c r="P84" s="572"/>
      <c r="Q84" s="321"/>
      <c r="R84" s="321">
        <v>237894</v>
      </c>
      <c r="S84" s="321"/>
      <c r="T84" s="321"/>
      <c r="U84" s="573"/>
      <c r="V84" s="553"/>
      <c r="W84" s="553"/>
      <c r="X84" s="553"/>
      <c r="Y84" s="156" t="b">
        <f t="shared" si="20"/>
        <v>1</v>
      </c>
      <c r="Z84" s="184">
        <f t="shared" si="21"/>
        <v>0.55</v>
      </c>
      <c r="AA84" s="156" t="b">
        <f t="shared" si="22"/>
        <v>1</v>
      </c>
      <c r="AB84" s="185" t="b">
        <f t="shared" si="23"/>
        <v>1</v>
      </c>
    </row>
    <row r="85" spans="1:28" s="179" customFormat="1" ht="45">
      <c r="A85" s="490">
        <v>83</v>
      </c>
      <c r="B85" s="327" t="s">
        <v>685</v>
      </c>
      <c r="C85" s="323" t="s">
        <v>314</v>
      </c>
      <c r="D85" s="327" t="s">
        <v>798</v>
      </c>
      <c r="E85" s="322">
        <v>1210023</v>
      </c>
      <c r="F85" s="328" t="s">
        <v>162</v>
      </c>
      <c r="G85" s="329" t="s">
        <v>842</v>
      </c>
      <c r="H85" s="330" t="s">
        <v>77</v>
      </c>
      <c r="I85" s="331">
        <v>1.48</v>
      </c>
      <c r="J85" s="508" t="s">
        <v>333</v>
      </c>
      <c r="K85" s="499">
        <v>800606.59</v>
      </c>
      <c r="L85" s="499">
        <v>480363</v>
      </c>
      <c r="M85" s="562">
        <v>320243.58999999997</v>
      </c>
      <c r="N85" s="563">
        <v>0.6</v>
      </c>
      <c r="O85" s="572"/>
      <c r="P85" s="572"/>
      <c r="Q85" s="321"/>
      <c r="R85" s="321">
        <v>480363</v>
      </c>
      <c r="S85" s="321"/>
      <c r="T85" s="321"/>
      <c r="U85" s="573"/>
      <c r="V85" s="553"/>
      <c r="W85" s="553"/>
      <c r="X85" s="553"/>
      <c r="Y85" s="156" t="b">
        <f t="shared" si="20"/>
        <v>1</v>
      </c>
      <c r="Z85" s="184">
        <f t="shared" si="21"/>
        <v>0.6</v>
      </c>
      <c r="AA85" s="156" t="b">
        <f t="shared" si="22"/>
        <v>1</v>
      </c>
      <c r="AB85" s="185" t="b">
        <f t="shared" si="23"/>
        <v>1</v>
      </c>
    </row>
    <row r="86" spans="1:28" s="157" customFormat="1" ht="45">
      <c r="A86" s="490">
        <v>84</v>
      </c>
      <c r="B86" s="477" t="s">
        <v>686</v>
      </c>
      <c r="C86" s="512" t="s">
        <v>313</v>
      </c>
      <c r="D86" s="477" t="s">
        <v>730</v>
      </c>
      <c r="E86" s="486">
        <v>1214053</v>
      </c>
      <c r="F86" s="554" t="s">
        <v>143</v>
      </c>
      <c r="G86" s="487" t="s">
        <v>843</v>
      </c>
      <c r="H86" s="501" t="s">
        <v>77</v>
      </c>
      <c r="I86" s="502">
        <v>1</v>
      </c>
      <c r="J86" s="369" t="s">
        <v>963</v>
      </c>
      <c r="K86" s="471">
        <v>1119675.57</v>
      </c>
      <c r="L86" s="471">
        <v>727789</v>
      </c>
      <c r="M86" s="500">
        <v>391886.57000000007</v>
      </c>
      <c r="N86" s="569">
        <v>0.65</v>
      </c>
      <c r="O86" s="570"/>
      <c r="P86" s="570"/>
      <c r="Q86" s="515"/>
      <c r="R86" s="515">
        <v>273348</v>
      </c>
      <c r="S86" s="515">
        <v>454441</v>
      </c>
      <c r="T86" s="515"/>
      <c r="U86" s="571"/>
      <c r="V86" s="530"/>
      <c r="W86" s="530"/>
      <c r="X86" s="530"/>
      <c r="Y86" s="156" t="b">
        <f t="shared" si="20"/>
        <v>1</v>
      </c>
      <c r="Z86" s="184">
        <f t="shared" si="21"/>
        <v>0.65</v>
      </c>
      <c r="AA86" s="156" t="b">
        <f t="shared" si="22"/>
        <v>1</v>
      </c>
      <c r="AB86" s="185" t="b">
        <f t="shared" si="23"/>
        <v>1</v>
      </c>
    </row>
    <row r="87" spans="1:28" s="179" customFormat="1" ht="30">
      <c r="A87" s="490">
        <v>85</v>
      </c>
      <c r="B87" s="327" t="s">
        <v>687</v>
      </c>
      <c r="C87" s="323" t="s">
        <v>314</v>
      </c>
      <c r="D87" s="327" t="s">
        <v>844</v>
      </c>
      <c r="E87" s="322">
        <v>1204052</v>
      </c>
      <c r="F87" s="328" t="s">
        <v>781</v>
      </c>
      <c r="G87" s="329" t="s">
        <v>845</v>
      </c>
      <c r="H87" s="330" t="s">
        <v>77</v>
      </c>
      <c r="I87" s="331">
        <v>0.885</v>
      </c>
      <c r="J87" s="508" t="s">
        <v>302</v>
      </c>
      <c r="K87" s="499">
        <v>209573.91</v>
      </c>
      <c r="L87" s="499">
        <v>125744</v>
      </c>
      <c r="M87" s="562">
        <v>83829.91</v>
      </c>
      <c r="N87" s="563">
        <v>0.6</v>
      </c>
      <c r="O87" s="572"/>
      <c r="P87" s="572"/>
      <c r="Q87" s="321"/>
      <c r="R87" s="321">
        <v>125744</v>
      </c>
      <c r="S87" s="321"/>
      <c r="T87" s="321"/>
      <c r="U87" s="573"/>
      <c r="V87" s="553"/>
      <c r="W87" s="553"/>
      <c r="X87" s="553"/>
      <c r="Y87" s="156" t="b">
        <f t="shared" si="20"/>
        <v>1</v>
      </c>
      <c r="Z87" s="184">
        <f t="shared" si="21"/>
        <v>0.6</v>
      </c>
      <c r="AA87" s="156" t="b">
        <f t="shared" si="22"/>
        <v>1</v>
      </c>
      <c r="AB87" s="185" t="b">
        <f t="shared" si="23"/>
        <v>1</v>
      </c>
    </row>
    <row r="88" spans="1:28" s="179" customFormat="1" ht="45">
      <c r="A88" s="490">
        <v>86</v>
      </c>
      <c r="B88" s="327" t="s">
        <v>689</v>
      </c>
      <c r="C88" s="323" t="s">
        <v>314</v>
      </c>
      <c r="D88" s="327" t="s">
        <v>846</v>
      </c>
      <c r="E88" s="574">
        <v>1205102</v>
      </c>
      <c r="F88" s="328" t="s">
        <v>154</v>
      </c>
      <c r="G88" s="329" t="s">
        <v>962</v>
      </c>
      <c r="H88" s="330" t="s">
        <v>77</v>
      </c>
      <c r="I88" s="331">
        <v>0.37</v>
      </c>
      <c r="J88" s="508" t="s">
        <v>847</v>
      </c>
      <c r="K88" s="499">
        <v>134413.78</v>
      </c>
      <c r="L88" s="499">
        <v>67206</v>
      </c>
      <c r="M88" s="562">
        <v>67207.78</v>
      </c>
      <c r="N88" s="563">
        <v>0.5</v>
      </c>
      <c r="O88" s="572"/>
      <c r="P88" s="572"/>
      <c r="Q88" s="321"/>
      <c r="R88" s="321">
        <v>67206</v>
      </c>
      <c r="S88" s="321"/>
      <c r="T88" s="321"/>
      <c r="U88" s="573"/>
      <c r="V88" s="553"/>
      <c r="W88" s="553"/>
      <c r="X88" s="553"/>
      <c r="Y88" s="156" t="b">
        <f t="shared" si="20"/>
        <v>1</v>
      </c>
      <c r="Z88" s="184">
        <f t="shared" si="21"/>
        <v>0.5</v>
      </c>
      <c r="AA88" s="156" t="b">
        <f t="shared" si="22"/>
        <v>1</v>
      </c>
      <c r="AB88" s="185" t="b">
        <f t="shared" si="23"/>
        <v>1</v>
      </c>
    </row>
    <row r="89" spans="1:28" s="179" customFormat="1" ht="60">
      <c r="A89" s="490">
        <v>87</v>
      </c>
      <c r="B89" s="327" t="s">
        <v>691</v>
      </c>
      <c r="C89" s="323" t="s">
        <v>314</v>
      </c>
      <c r="D89" s="327" t="s">
        <v>851</v>
      </c>
      <c r="E89" s="322">
        <v>1214062</v>
      </c>
      <c r="F89" s="328" t="s">
        <v>143</v>
      </c>
      <c r="G89" s="329" t="s">
        <v>852</v>
      </c>
      <c r="H89" s="330" t="s">
        <v>77</v>
      </c>
      <c r="I89" s="331">
        <v>0.185</v>
      </c>
      <c r="J89" s="508" t="s">
        <v>853</v>
      </c>
      <c r="K89" s="499">
        <v>385350.39</v>
      </c>
      <c r="L89" s="499">
        <v>211942</v>
      </c>
      <c r="M89" s="562">
        <v>173408.39</v>
      </c>
      <c r="N89" s="563">
        <v>0.55</v>
      </c>
      <c r="O89" s="572"/>
      <c r="P89" s="572"/>
      <c r="Q89" s="321"/>
      <c r="R89" s="321">
        <v>211942</v>
      </c>
      <c r="S89" s="321"/>
      <c r="T89" s="321"/>
      <c r="U89" s="573"/>
      <c r="V89" s="553"/>
      <c r="W89" s="553"/>
      <c r="X89" s="553"/>
      <c r="Y89" s="156" t="b">
        <f>L89=SUM(O89:X89)</f>
        <v>1</v>
      </c>
      <c r="Z89" s="184">
        <f>ROUND(L89/K89,4)</f>
        <v>0.55</v>
      </c>
      <c r="AA89" s="156" t="b">
        <f>Z89=N89</f>
        <v>1</v>
      </c>
      <c r="AB89" s="185" t="b">
        <f>K89=L89+M89</f>
        <v>1</v>
      </c>
    </row>
    <row r="90" spans="1:28" s="179" customFormat="1" ht="30">
      <c r="A90" s="490">
        <v>88</v>
      </c>
      <c r="B90" s="327" t="s">
        <v>692</v>
      </c>
      <c r="C90" s="323" t="s">
        <v>314</v>
      </c>
      <c r="D90" s="327" t="s">
        <v>822</v>
      </c>
      <c r="E90" s="322">
        <v>1205072</v>
      </c>
      <c r="F90" s="328" t="s">
        <v>154</v>
      </c>
      <c r="G90" s="329" t="s">
        <v>854</v>
      </c>
      <c r="H90" s="330" t="s">
        <v>77</v>
      </c>
      <c r="I90" s="331">
        <v>1.638</v>
      </c>
      <c r="J90" s="508" t="s">
        <v>310</v>
      </c>
      <c r="K90" s="499">
        <v>802491.7</v>
      </c>
      <c r="L90" s="499">
        <v>521619</v>
      </c>
      <c r="M90" s="562">
        <v>280872.69999999995</v>
      </c>
      <c r="N90" s="563">
        <v>0.65</v>
      </c>
      <c r="O90" s="572"/>
      <c r="P90" s="572"/>
      <c r="Q90" s="321"/>
      <c r="R90" s="321">
        <v>521619</v>
      </c>
      <c r="S90" s="321"/>
      <c r="T90" s="321"/>
      <c r="U90" s="573"/>
      <c r="V90" s="553"/>
      <c r="W90" s="553"/>
      <c r="X90" s="553"/>
      <c r="Y90" s="156" t="b">
        <f aca="true" t="shared" si="24" ref="Y90:Y99">L90=SUM(O90:X90)</f>
        <v>1</v>
      </c>
      <c r="Z90" s="184">
        <f aca="true" t="shared" si="25" ref="Z90:Z99">ROUND(L90/K90,4)</f>
        <v>0.65</v>
      </c>
      <c r="AA90" s="156" t="b">
        <f aca="true" t="shared" si="26" ref="AA90:AA99">Z90=N90</f>
        <v>1</v>
      </c>
      <c r="AB90" s="185" t="b">
        <f aca="true" t="shared" si="27" ref="AB90:AB99">K90=L90+M90</f>
        <v>1</v>
      </c>
    </row>
    <row r="91" spans="1:28" s="179" customFormat="1" ht="45">
      <c r="A91" s="490">
        <v>89</v>
      </c>
      <c r="B91" s="327" t="s">
        <v>693</v>
      </c>
      <c r="C91" s="323" t="s">
        <v>314</v>
      </c>
      <c r="D91" s="327" t="s">
        <v>855</v>
      </c>
      <c r="E91" s="322">
        <v>1216133</v>
      </c>
      <c r="F91" s="328" t="s">
        <v>161</v>
      </c>
      <c r="G91" s="329" t="s">
        <v>856</v>
      </c>
      <c r="H91" s="330" t="s">
        <v>77</v>
      </c>
      <c r="I91" s="331">
        <v>1.4</v>
      </c>
      <c r="J91" s="508" t="s">
        <v>323</v>
      </c>
      <c r="K91" s="499">
        <v>1020418.37</v>
      </c>
      <c r="L91" s="499">
        <v>612251</v>
      </c>
      <c r="M91" s="562">
        <v>408167.37</v>
      </c>
      <c r="N91" s="563">
        <v>0.6</v>
      </c>
      <c r="O91" s="572"/>
      <c r="P91" s="572"/>
      <c r="Q91" s="321"/>
      <c r="R91" s="321">
        <v>612251</v>
      </c>
      <c r="S91" s="321"/>
      <c r="T91" s="321"/>
      <c r="U91" s="573"/>
      <c r="V91" s="553"/>
      <c r="W91" s="553"/>
      <c r="X91" s="553"/>
      <c r="Y91" s="156" t="b">
        <f t="shared" si="24"/>
        <v>1</v>
      </c>
      <c r="Z91" s="184">
        <f t="shared" si="25"/>
        <v>0.6</v>
      </c>
      <c r="AA91" s="156" t="b">
        <f t="shared" si="26"/>
        <v>1</v>
      </c>
      <c r="AB91" s="185" t="b">
        <f t="shared" si="27"/>
        <v>1</v>
      </c>
    </row>
    <row r="92" spans="1:28" s="179" customFormat="1" ht="45">
      <c r="A92" s="490">
        <v>90</v>
      </c>
      <c r="B92" s="327" t="s">
        <v>694</v>
      </c>
      <c r="C92" s="323" t="s">
        <v>314</v>
      </c>
      <c r="D92" s="327" t="s">
        <v>780</v>
      </c>
      <c r="E92" s="322">
        <v>1204062</v>
      </c>
      <c r="F92" s="328" t="s">
        <v>781</v>
      </c>
      <c r="G92" s="329" t="s">
        <v>857</v>
      </c>
      <c r="H92" s="330" t="s">
        <v>77</v>
      </c>
      <c r="I92" s="331">
        <v>1.398</v>
      </c>
      <c r="J92" s="508" t="s">
        <v>302</v>
      </c>
      <c r="K92" s="499">
        <v>951760.88</v>
      </c>
      <c r="L92" s="499">
        <v>571056</v>
      </c>
      <c r="M92" s="562">
        <v>380704.88</v>
      </c>
      <c r="N92" s="563">
        <v>0.6</v>
      </c>
      <c r="O92" s="572"/>
      <c r="P92" s="572"/>
      <c r="Q92" s="321"/>
      <c r="R92" s="321">
        <v>571056</v>
      </c>
      <c r="S92" s="321"/>
      <c r="T92" s="321"/>
      <c r="U92" s="573"/>
      <c r="V92" s="553"/>
      <c r="W92" s="553"/>
      <c r="X92" s="553"/>
      <c r="Y92" s="156" t="b">
        <f t="shared" si="24"/>
        <v>1</v>
      </c>
      <c r="Z92" s="184">
        <f t="shared" si="25"/>
        <v>0.6</v>
      </c>
      <c r="AA92" s="156" t="b">
        <f t="shared" si="26"/>
        <v>1</v>
      </c>
      <c r="AB92" s="185" t="b">
        <f t="shared" si="27"/>
        <v>1</v>
      </c>
    </row>
    <row r="93" spans="1:28" s="179" customFormat="1" ht="45">
      <c r="A93" s="490">
        <v>91</v>
      </c>
      <c r="B93" s="327" t="s">
        <v>695</v>
      </c>
      <c r="C93" s="323" t="s">
        <v>314</v>
      </c>
      <c r="D93" s="327" t="s">
        <v>858</v>
      </c>
      <c r="E93" s="322">
        <v>1214023</v>
      </c>
      <c r="F93" s="328" t="s">
        <v>143</v>
      </c>
      <c r="G93" s="329" t="s">
        <v>859</v>
      </c>
      <c r="H93" s="330" t="s">
        <v>77</v>
      </c>
      <c r="I93" s="331">
        <v>1.065</v>
      </c>
      <c r="J93" s="508" t="s">
        <v>860</v>
      </c>
      <c r="K93" s="499">
        <v>515777.25</v>
      </c>
      <c r="L93" s="499">
        <v>309466</v>
      </c>
      <c r="M93" s="562">
        <v>206311.25</v>
      </c>
      <c r="N93" s="563">
        <v>0.6</v>
      </c>
      <c r="O93" s="572"/>
      <c r="P93" s="572"/>
      <c r="Q93" s="321"/>
      <c r="R93" s="321">
        <v>309466</v>
      </c>
      <c r="S93" s="321"/>
      <c r="T93" s="321"/>
      <c r="U93" s="573"/>
      <c r="V93" s="553"/>
      <c r="W93" s="553"/>
      <c r="X93" s="553"/>
      <c r="Y93" s="156" t="b">
        <f t="shared" si="24"/>
        <v>1</v>
      </c>
      <c r="Z93" s="184">
        <f t="shared" si="25"/>
        <v>0.6</v>
      </c>
      <c r="AA93" s="156" t="b">
        <f t="shared" si="26"/>
        <v>1</v>
      </c>
      <c r="AB93" s="185" t="b">
        <f t="shared" si="27"/>
        <v>1</v>
      </c>
    </row>
    <row r="94" spans="1:28" s="179" customFormat="1" ht="45">
      <c r="A94" s="490">
        <v>92</v>
      </c>
      <c r="B94" s="327" t="s">
        <v>697</v>
      </c>
      <c r="C94" s="323" t="s">
        <v>314</v>
      </c>
      <c r="D94" s="327" t="s">
        <v>864</v>
      </c>
      <c r="E94" s="322">
        <v>1218082</v>
      </c>
      <c r="F94" s="328" t="s">
        <v>147</v>
      </c>
      <c r="G94" s="329" t="s">
        <v>865</v>
      </c>
      <c r="H94" s="330" t="s">
        <v>77</v>
      </c>
      <c r="I94" s="331">
        <v>0.99</v>
      </c>
      <c r="J94" s="508" t="s">
        <v>767</v>
      </c>
      <c r="K94" s="499">
        <v>275904.54</v>
      </c>
      <c r="L94" s="499">
        <v>179337</v>
      </c>
      <c r="M94" s="562">
        <v>96567.53999999998</v>
      </c>
      <c r="N94" s="563">
        <v>0.65</v>
      </c>
      <c r="O94" s="572"/>
      <c r="P94" s="572"/>
      <c r="Q94" s="321"/>
      <c r="R94" s="321">
        <v>179337</v>
      </c>
      <c r="S94" s="321"/>
      <c r="T94" s="321"/>
      <c r="U94" s="573"/>
      <c r="V94" s="553"/>
      <c r="W94" s="553"/>
      <c r="X94" s="553"/>
      <c r="Y94" s="156" t="b">
        <f t="shared" si="24"/>
        <v>1</v>
      </c>
      <c r="Z94" s="184">
        <f t="shared" si="25"/>
        <v>0.65</v>
      </c>
      <c r="AA94" s="156" t="b">
        <f t="shared" si="26"/>
        <v>1</v>
      </c>
      <c r="AB94" s="185" t="b">
        <f t="shared" si="27"/>
        <v>1</v>
      </c>
    </row>
    <row r="95" spans="1:28" s="179" customFormat="1" ht="45">
      <c r="A95" s="490">
        <v>93</v>
      </c>
      <c r="B95" s="327" t="s">
        <v>698</v>
      </c>
      <c r="C95" s="323" t="s">
        <v>314</v>
      </c>
      <c r="D95" s="327" t="s">
        <v>745</v>
      </c>
      <c r="E95" s="322">
        <v>1207011</v>
      </c>
      <c r="F95" s="328" t="s">
        <v>298</v>
      </c>
      <c r="G95" s="329" t="s">
        <v>866</v>
      </c>
      <c r="H95" s="330" t="s">
        <v>77</v>
      </c>
      <c r="I95" s="331">
        <v>0.935</v>
      </c>
      <c r="J95" s="508" t="s">
        <v>747</v>
      </c>
      <c r="K95" s="499">
        <v>3370084.87</v>
      </c>
      <c r="L95" s="499">
        <v>1685042</v>
      </c>
      <c r="M95" s="562">
        <v>1685042.87</v>
      </c>
      <c r="N95" s="563">
        <v>0.5</v>
      </c>
      <c r="O95" s="572"/>
      <c r="P95" s="572"/>
      <c r="Q95" s="321"/>
      <c r="R95" s="321">
        <v>1685042</v>
      </c>
      <c r="S95" s="321"/>
      <c r="T95" s="321"/>
      <c r="U95" s="573"/>
      <c r="V95" s="553"/>
      <c r="W95" s="553"/>
      <c r="X95" s="553"/>
      <c r="Y95" s="156" t="b">
        <f t="shared" si="24"/>
        <v>1</v>
      </c>
      <c r="Z95" s="184">
        <f t="shared" si="25"/>
        <v>0.5</v>
      </c>
      <c r="AA95" s="156" t="b">
        <f t="shared" si="26"/>
        <v>1</v>
      </c>
      <c r="AB95" s="185" t="b">
        <f t="shared" si="27"/>
        <v>1</v>
      </c>
    </row>
    <row r="96" spans="1:28" s="179" customFormat="1" ht="45">
      <c r="A96" s="490">
        <v>94</v>
      </c>
      <c r="B96" s="327" t="s">
        <v>699</v>
      </c>
      <c r="C96" s="323" t="s">
        <v>314</v>
      </c>
      <c r="D96" s="327" t="s">
        <v>858</v>
      </c>
      <c r="E96" s="322">
        <v>1214023</v>
      </c>
      <c r="F96" s="328" t="s">
        <v>143</v>
      </c>
      <c r="G96" s="329" t="s">
        <v>867</v>
      </c>
      <c r="H96" s="330" t="s">
        <v>77</v>
      </c>
      <c r="I96" s="331">
        <v>0.935</v>
      </c>
      <c r="J96" s="508" t="s">
        <v>860</v>
      </c>
      <c r="K96" s="499">
        <v>450233.43</v>
      </c>
      <c r="L96" s="499">
        <v>270140</v>
      </c>
      <c r="M96" s="562">
        <v>180093.43</v>
      </c>
      <c r="N96" s="563">
        <v>0.6</v>
      </c>
      <c r="O96" s="572"/>
      <c r="P96" s="572"/>
      <c r="Q96" s="321"/>
      <c r="R96" s="321">
        <v>270140</v>
      </c>
      <c r="S96" s="321"/>
      <c r="T96" s="321"/>
      <c r="U96" s="573"/>
      <c r="V96" s="553"/>
      <c r="W96" s="553"/>
      <c r="X96" s="553"/>
      <c r="Y96" s="156" t="b">
        <f t="shared" si="24"/>
        <v>1</v>
      </c>
      <c r="Z96" s="184">
        <f t="shared" si="25"/>
        <v>0.6</v>
      </c>
      <c r="AA96" s="156" t="b">
        <f t="shared" si="26"/>
        <v>1</v>
      </c>
      <c r="AB96" s="185" t="b">
        <f t="shared" si="27"/>
        <v>1</v>
      </c>
    </row>
    <row r="97" spans="1:28" s="179" customFormat="1" ht="30">
      <c r="A97" s="490">
        <v>95</v>
      </c>
      <c r="B97" s="327" t="s">
        <v>700</v>
      </c>
      <c r="C97" s="323" t="s">
        <v>314</v>
      </c>
      <c r="D97" s="327" t="s">
        <v>844</v>
      </c>
      <c r="E97" s="322">
        <v>1204052</v>
      </c>
      <c r="F97" s="328" t="s">
        <v>781</v>
      </c>
      <c r="G97" s="329" t="s">
        <v>868</v>
      </c>
      <c r="H97" s="330" t="s">
        <v>77</v>
      </c>
      <c r="I97" s="331">
        <v>0.88</v>
      </c>
      <c r="J97" s="508" t="s">
        <v>302</v>
      </c>
      <c r="K97" s="499">
        <v>166819.76</v>
      </c>
      <c r="L97" s="499">
        <v>100091</v>
      </c>
      <c r="M97" s="562">
        <v>66728.76000000001</v>
      </c>
      <c r="N97" s="563">
        <v>0.6</v>
      </c>
      <c r="O97" s="572"/>
      <c r="P97" s="572"/>
      <c r="Q97" s="321"/>
      <c r="R97" s="321">
        <v>100091</v>
      </c>
      <c r="S97" s="321"/>
      <c r="T97" s="321"/>
      <c r="U97" s="573"/>
      <c r="V97" s="553"/>
      <c r="W97" s="553"/>
      <c r="X97" s="553"/>
      <c r="Y97" s="156" t="b">
        <f t="shared" si="24"/>
        <v>1</v>
      </c>
      <c r="Z97" s="184">
        <f t="shared" si="25"/>
        <v>0.6</v>
      </c>
      <c r="AA97" s="156" t="b">
        <f t="shared" si="26"/>
        <v>1</v>
      </c>
      <c r="AB97" s="185" t="b">
        <f t="shared" si="27"/>
        <v>1</v>
      </c>
    </row>
    <row r="98" spans="1:28" s="157" customFormat="1" ht="45">
      <c r="A98" s="490">
        <v>96</v>
      </c>
      <c r="B98" s="477" t="s">
        <v>701</v>
      </c>
      <c r="C98" s="512" t="s">
        <v>313</v>
      </c>
      <c r="D98" s="477" t="s">
        <v>826</v>
      </c>
      <c r="E98" s="486">
        <v>1215092</v>
      </c>
      <c r="F98" s="554" t="s">
        <v>576</v>
      </c>
      <c r="G98" s="487" t="s">
        <v>869</v>
      </c>
      <c r="H98" s="501" t="s">
        <v>77</v>
      </c>
      <c r="I98" s="502">
        <v>0.72</v>
      </c>
      <c r="J98" s="369" t="s">
        <v>870</v>
      </c>
      <c r="K98" s="471">
        <v>651254.03</v>
      </c>
      <c r="L98" s="471">
        <v>423315</v>
      </c>
      <c r="M98" s="500">
        <v>227939.03000000003</v>
      </c>
      <c r="N98" s="569">
        <v>0.65</v>
      </c>
      <c r="O98" s="570"/>
      <c r="P98" s="570"/>
      <c r="Q98" s="515"/>
      <c r="R98" s="515">
        <v>164581</v>
      </c>
      <c r="S98" s="515">
        <v>258734</v>
      </c>
      <c r="T98" s="515"/>
      <c r="U98" s="571"/>
      <c r="V98" s="530"/>
      <c r="W98" s="530"/>
      <c r="X98" s="530"/>
      <c r="Y98" s="156" t="b">
        <f t="shared" si="24"/>
        <v>1</v>
      </c>
      <c r="Z98" s="184">
        <f t="shared" si="25"/>
        <v>0.65</v>
      </c>
      <c r="AA98" s="156" t="b">
        <f t="shared" si="26"/>
        <v>1</v>
      </c>
      <c r="AB98" s="185" t="b">
        <f t="shared" si="27"/>
        <v>1</v>
      </c>
    </row>
    <row r="99" spans="1:28" s="179" customFormat="1" ht="45">
      <c r="A99" s="490">
        <v>97</v>
      </c>
      <c r="B99" s="327" t="s">
        <v>702</v>
      </c>
      <c r="C99" s="323" t="s">
        <v>314</v>
      </c>
      <c r="D99" s="327" t="s">
        <v>851</v>
      </c>
      <c r="E99" s="322">
        <v>1214062</v>
      </c>
      <c r="F99" s="328" t="s">
        <v>143</v>
      </c>
      <c r="G99" s="329" t="s">
        <v>871</v>
      </c>
      <c r="H99" s="330" t="s">
        <v>77</v>
      </c>
      <c r="I99" s="331">
        <v>0.61</v>
      </c>
      <c r="J99" s="508" t="s">
        <v>853</v>
      </c>
      <c r="K99" s="499">
        <v>1365675.57</v>
      </c>
      <c r="L99" s="499">
        <v>751121</v>
      </c>
      <c r="M99" s="562">
        <v>614554.5700000001</v>
      </c>
      <c r="N99" s="563">
        <v>0.55</v>
      </c>
      <c r="O99" s="572"/>
      <c r="P99" s="572"/>
      <c r="Q99" s="321"/>
      <c r="R99" s="321">
        <v>751121</v>
      </c>
      <c r="S99" s="321"/>
      <c r="T99" s="321"/>
      <c r="U99" s="573"/>
      <c r="V99" s="553"/>
      <c r="W99" s="553"/>
      <c r="X99" s="553"/>
      <c r="Y99" s="156" t="b">
        <f t="shared" si="24"/>
        <v>1</v>
      </c>
      <c r="Z99" s="184">
        <f t="shared" si="25"/>
        <v>0.55</v>
      </c>
      <c r="AA99" s="156" t="b">
        <f t="shared" si="26"/>
        <v>1</v>
      </c>
      <c r="AB99" s="185" t="b">
        <f t="shared" si="27"/>
        <v>1</v>
      </c>
    </row>
    <row r="100" spans="1:28" s="179" customFormat="1" ht="45">
      <c r="A100" s="490">
        <v>98</v>
      </c>
      <c r="B100" s="327" t="s">
        <v>704</v>
      </c>
      <c r="C100" s="323" t="s">
        <v>314</v>
      </c>
      <c r="D100" s="327" t="s">
        <v>571</v>
      </c>
      <c r="E100" s="322">
        <v>1209073</v>
      </c>
      <c r="F100" s="328" t="s">
        <v>126</v>
      </c>
      <c r="G100" s="329" t="s">
        <v>873</v>
      </c>
      <c r="H100" s="330" t="s">
        <v>77</v>
      </c>
      <c r="I100" s="331">
        <v>0.436</v>
      </c>
      <c r="J100" s="508" t="s">
        <v>312</v>
      </c>
      <c r="K100" s="499">
        <v>480333.7</v>
      </c>
      <c r="L100" s="499">
        <v>312216</v>
      </c>
      <c r="M100" s="562">
        <v>168117.7</v>
      </c>
      <c r="N100" s="563">
        <v>0.65</v>
      </c>
      <c r="O100" s="572"/>
      <c r="P100" s="572"/>
      <c r="Q100" s="321"/>
      <c r="R100" s="321">
        <v>312216</v>
      </c>
      <c r="S100" s="321"/>
      <c r="T100" s="321"/>
      <c r="U100" s="573"/>
      <c r="V100" s="553"/>
      <c r="W100" s="553"/>
      <c r="X100" s="553"/>
      <c r="Y100" s="156" t="b">
        <f>L100=SUM(O100:X100)</f>
        <v>1</v>
      </c>
      <c r="Z100" s="184">
        <f>ROUND(L100/K100,4)</f>
        <v>0.65</v>
      </c>
      <c r="AA100" s="156" t="b">
        <f>Z100=N100</f>
        <v>1</v>
      </c>
      <c r="AB100" s="185" t="b">
        <f>K100=L100+M100</f>
        <v>1</v>
      </c>
    </row>
    <row r="101" spans="1:28" s="179" customFormat="1" ht="45">
      <c r="A101" s="490">
        <v>99</v>
      </c>
      <c r="B101" s="327" t="s">
        <v>705</v>
      </c>
      <c r="C101" s="323" t="s">
        <v>314</v>
      </c>
      <c r="D101" s="327" t="s">
        <v>829</v>
      </c>
      <c r="E101" s="322">
        <v>1207122</v>
      </c>
      <c r="F101" s="328" t="s">
        <v>298</v>
      </c>
      <c r="G101" s="329" t="s">
        <v>874</v>
      </c>
      <c r="H101" s="330" t="s">
        <v>77</v>
      </c>
      <c r="I101" s="331">
        <v>0.257</v>
      </c>
      <c r="J101" s="508" t="s">
        <v>831</v>
      </c>
      <c r="K101" s="499">
        <v>263602.56</v>
      </c>
      <c r="L101" s="499">
        <v>171341</v>
      </c>
      <c r="M101" s="562">
        <v>92261.56</v>
      </c>
      <c r="N101" s="563">
        <v>0.65</v>
      </c>
      <c r="O101" s="572"/>
      <c r="P101" s="572"/>
      <c r="Q101" s="321"/>
      <c r="R101" s="321">
        <v>171341</v>
      </c>
      <c r="S101" s="321"/>
      <c r="T101" s="321"/>
      <c r="U101" s="573"/>
      <c r="V101" s="553"/>
      <c r="W101" s="553"/>
      <c r="X101" s="553"/>
      <c r="Y101" s="156" t="b">
        <f>L101=SUM(O101:X101)</f>
        <v>1</v>
      </c>
      <c r="Z101" s="184">
        <f>ROUND(L101/K101,4)</f>
        <v>0.65</v>
      </c>
      <c r="AA101" s="156" t="b">
        <f>Z101=N101</f>
        <v>1</v>
      </c>
      <c r="AB101" s="185" t="b">
        <f>K101=L101+M101</f>
        <v>1</v>
      </c>
    </row>
    <row r="102" spans="1:28" s="179" customFormat="1" ht="30">
      <c r="A102" s="490">
        <v>100</v>
      </c>
      <c r="B102" s="327" t="s">
        <v>706</v>
      </c>
      <c r="C102" s="323" t="s">
        <v>314</v>
      </c>
      <c r="D102" s="327" t="s">
        <v>738</v>
      </c>
      <c r="E102" s="322">
        <v>1216103</v>
      </c>
      <c r="F102" s="328" t="s">
        <v>161</v>
      </c>
      <c r="G102" s="329" t="s">
        <v>875</v>
      </c>
      <c r="H102" s="330" t="s">
        <v>77</v>
      </c>
      <c r="I102" s="331">
        <v>0.5</v>
      </c>
      <c r="J102" s="508" t="s">
        <v>300</v>
      </c>
      <c r="K102" s="499">
        <v>460117.47</v>
      </c>
      <c r="L102" s="499">
        <v>299076</v>
      </c>
      <c r="M102" s="562">
        <v>161041.46999999997</v>
      </c>
      <c r="N102" s="563">
        <v>0.65</v>
      </c>
      <c r="O102" s="572"/>
      <c r="P102" s="572"/>
      <c r="Q102" s="321"/>
      <c r="R102" s="321">
        <v>299076</v>
      </c>
      <c r="S102" s="321"/>
      <c r="T102" s="321"/>
      <c r="U102" s="573"/>
      <c r="V102" s="553"/>
      <c r="W102" s="553"/>
      <c r="X102" s="553"/>
      <c r="Y102" s="156" t="b">
        <f>L102=SUM(O102:X102)</f>
        <v>1</v>
      </c>
      <c r="Z102" s="184">
        <f>ROUND(L102/K102,4)</f>
        <v>0.65</v>
      </c>
      <c r="AA102" s="156" t="b">
        <f>Z102=N102</f>
        <v>1</v>
      </c>
      <c r="AB102" s="185" t="b">
        <f>K102=L102+M102</f>
        <v>1</v>
      </c>
    </row>
    <row r="103" spans="1:28" s="179" customFormat="1" ht="45">
      <c r="A103" s="490">
        <v>101</v>
      </c>
      <c r="B103" s="327" t="s">
        <v>708</v>
      </c>
      <c r="C103" s="323" t="s">
        <v>314</v>
      </c>
      <c r="D103" s="327" t="s">
        <v>877</v>
      </c>
      <c r="E103" s="322">
        <v>1204032</v>
      </c>
      <c r="F103" s="328" t="s">
        <v>781</v>
      </c>
      <c r="G103" s="329" t="s">
        <v>878</v>
      </c>
      <c r="H103" s="330" t="s">
        <v>77</v>
      </c>
      <c r="I103" s="331">
        <v>0.329</v>
      </c>
      <c r="J103" s="327" t="s">
        <v>310</v>
      </c>
      <c r="K103" s="499">
        <v>405923.33</v>
      </c>
      <c r="L103" s="499">
        <v>243553</v>
      </c>
      <c r="M103" s="562">
        <v>162370.33000000002</v>
      </c>
      <c r="N103" s="563">
        <v>0.6</v>
      </c>
      <c r="O103" s="572"/>
      <c r="P103" s="572"/>
      <c r="Q103" s="321"/>
      <c r="R103" s="321">
        <v>243553</v>
      </c>
      <c r="S103" s="321"/>
      <c r="T103" s="321"/>
      <c r="U103" s="573"/>
      <c r="V103" s="553"/>
      <c r="W103" s="553"/>
      <c r="X103" s="553"/>
      <c r="Y103" s="156" t="b">
        <f>L103=SUM(O103:X103)</f>
        <v>1</v>
      </c>
      <c r="Z103" s="184">
        <f>ROUND(L103/K103,4)</f>
        <v>0.6</v>
      </c>
      <c r="AA103" s="156" t="b">
        <f>Z103=N103</f>
        <v>1</v>
      </c>
      <c r="AB103" s="185" t="b">
        <f>K103=L103+M103</f>
        <v>1</v>
      </c>
    </row>
    <row r="104" spans="1:28" s="236" customFormat="1" ht="19.5" customHeight="1">
      <c r="A104" s="438" t="s">
        <v>43</v>
      </c>
      <c r="B104" s="439"/>
      <c r="C104" s="439"/>
      <c r="D104" s="439"/>
      <c r="E104" s="439"/>
      <c r="F104" s="439"/>
      <c r="G104" s="439"/>
      <c r="H104" s="440"/>
      <c r="I104" s="233">
        <f>SUM(I3:I103)</f>
        <v>79.94741</v>
      </c>
      <c r="J104" s="233" t="s">
        <v>14</v>
      </c>
      <c r="K104" s="233">
        <f>SUM(K3:K103)</f>
        <v>102958480.77999999</v>
      </c>
      <c r="L104" s="233">
        <f>SUM(L3:L103)</f>
        <v>61539497</v>
      </c>
      <c r="M104" s="233">
        <f>SUM(M3:M103)</f>
        <v>41418983.780000016</v>
      </c>
      <c r="N104" s="233" t="s">
        <v>14</v>
      </c>
      <c r="O104" s="382">
        <f aca="true" t="shared" si="28" ref="O104:X104">SUM(O3:O103)</f>
        <v>0</v>
      </c>
      <c r="P104" s="382">
        <f t="shared" si="28"/>
        <v>0</v>
      </c>
      <c r="Q104" s="382">
        <f t="shared" si="28"/>
        <v>0</v>
      </c>
      <c r="R104" s="382">
        <f t="shared" si="28"/>
        <v>55045034</v>
      </c>
      <c r="S104" s="382">
        <f t="shared" si="28"/>
        <v>3683551</v>
      </c>
      <c r="T104" s="382">
        <f t="shared" si="28"/>
        <v>2324496</v>
      </c>
      <c r="U104" s="382">
        <f t="shared" si="28"/>
        <v>486416</v>
      </c>
      <c r="V104" s="382">
        <f t="shared" si="28"/>
        <v>0</v>
      </c>
      <c r="W104" s="382">
        <f t="shared" si="28"/>
        <v>0</v>
      </c>
      <c r="X104" s="382">
        <f t="shared" si="28"/>
        <v>0</v>
      </c>
      <c r="Y104" s="332"/>
      <c r="Z104" s="333"/>
      <c r="AA104" s="334"/>
      <c r="AB104" s="334"/>
    </row>
    <row r="105" spans="1:28" s="236" customFormat="1" ht="19.5" customHeight="1">
      <c r="A105" s="438" t="s">
        <v>37</v>
      </c>
      <c r="B105" s="439"/>
      <c r="C105" s="439"/>
      <c r="D105" s="439"/>
      <c r="E105" s="439"/>
      <c r="F105" s="439"/>
      <c r="G105" s="439"/>
      <c r="H105" s="440"/>
      <c r="I105" s="233">
        <f>SUMIF($C$3:$C$103,"N",I3:I103)</f>
        <v>72.23811999999998</v>
      </c>
      <c r="J105" s="217" t="s">
        <v>14</v>
      </c>
      <c r="K105" s="178">
        <f>SUMIF($C$3:$C$103,"N",K3:K103)</f>
        <v>86361354.73000002</v>
      </c>
      <c r="L105" s="178">
        <f>SUMIF($C$3:$C$103,"N",L3:L103)</f>
        <v>52097054</v>
      </c>
      <c r="M105" s="178">
        <f>SUMIF($C$3:$C$103,"N",M3:M103)</f>
        <v>34264300.73000001</v>
      </c>
      <c r="N105" s="23" t="s">
        <v>14</v>
      </c>
      <c r="O105" s="183">
        <f aca="true" t="shared" si="29" ref="O105:X105">SUMIF($C$3:$C$103,"N",O3:O103)</f>
        <v>0</v>
      </c>
      <c r="P105" s="183">
        <f t="shared" si="29"/>
        <v>0</v>
      </c>
      <c r="Q105" s="183">
        <f t="shared" si="29"/>
        <v>0</v>
      </c>
      <c r="R105" s="183">
        <f t="shared" si="29"/>
        <v>52097054</v>
      </c>
      <c r="S105" s="183">
        <f t="shared" si="29"/>
        <v>0</v>
      </c>
      <c r="T105" s="183">
        <f t="shared" si="29"/>
        <v>0</v>
      </c>
      <c r="U105" s="183">
        <f t="shared" si="29"/>
        <v>0</v>
      </c>
      <c r="V105" s="183">
        <f t="shared" si="29"/>
        <v>0</v>
      </c>
      <c r="W105" s="183">
        <f t="shared" si="29"/>
        <v>0</v>
      </c>
      <c r="X105" s="183">
        <f t="shared" si="29"/>
        <v>0</v>
      </c>
      <c r="Y105" s="332"/>
      <c r="Z105" s="333"/>
      <c r="AA105" s="334"/>
      <c r="AB105" s="334"/>
    </row>
    <row r="106" spans="1:28" s="236" customFormat="1" ht="19.5" customHeight="1">
      <c r="A106" s="441" t="s">
        <v>38</v>
      </c>
      <c r="B106" s="442"/>
      <c r="C106" s="442"/>
      <c r="D106" s="442"/>
      <c r="E106" s="442"/>
      <c r="F106" s="442"/>
      <c r="G106" s="442"/>
      <c r="H106" s="443"/>
      <c r="I106" s="234">
        <f>SUMIF($C$3:$C$103,"W",I3:I103)</f>
        <v>7.709289999999999</v>
      </c>
      <c r="J106" s="220" t="s">
        <v>14</v>
      </c>
      <c r="K106" s="370">
        <f>SUMIF($C$3:$C$103,"W",K3:K103)</f>
        <v>16597126.05</v>
      </c>
      <c r="L106" s="370">
        <f>SUMIF($C$3:$C$103,"W",L3:L103)</f>
        <v>9442443</v>
      </c>
      <c r="M106" s="370">
        <f>SUMIF($C$3:$C$103,"W",M3:M103)</f>
        <v>7154683.050000002</v>
      </c>
      <c r="N106" s="371" t="s">
        <v>14</v>
      </c>
      <c r="O106" s="372">
        <f aca="true" t="shared" si="30" ref="O106:X106">SUMIF($C$3:$C$103,"W",O3:O103)</f>
        <v>0</v>
      </c>
      <c r="P106" s="372">
        <f t="shared" si="30"/>
        <v>0</v>
      </c>
      <c r="Q106" s="372">
        <f t="shared" si="30"/>
        <v>0</v>
      </c>
      <c r="R106" s="372">
        <f t="shared" si="30"/>
        <v>2947980</v>
      </c>
      <c r="S106" s="372">
        <f t="shared" si="30"/>
        <v>3683551</v>
      </c>
      <c r="T106" s="372">
        <f t="shared" si="30"/>
        <v>2324496</v>
      </c>
      <c r="U106" s="372">
        <f t="shared" si="30"/>
        <v>486416</v>
      </c>
      <c r="V106" s="372">
        <f t="shared" si="30"/>
        <v>0</v>
      </c>
      <c r="W106" s="372">
        <f t="shared" si="30"/>
        <v>0</v>
      </c>
      <c r="X106" s="372">
        <f t="shared" si="30"/>
        <v>0</v>
      </c>
      <c r="Y106" s="332"/>
      <c r="Z106" s="333"/>
      <c r="AA106" s="334"/>
      <c r="AB106" s="334"/>
    </row>
    <row r="107" spans="1:28" ht="12.75">
      <c r="A107" s="145"/>
      <c r="AB107" s="180"/>
    </row>
    <row r="108" spans="1:19" ht="12">
      <c r="A108" s="132" t="s">
        <v>24</v>
      </c>
      <c r="K108" s="142"/>
      <c r="L108" s="142"/>
      <c r="M108" s="142"/>
      <c r="N108" s="142"/>
      <c r="O108" s="180"/>
      <c r="P108" s="180"/>
      <c r="Q108" s="180"/>
      <c r="R108" s="180"/>
      <c r="S108" s="180"/>
    </row>
    <row r="109" spans="1:22" ht="12">
      <c r="A109" s="135" t="s">
        <v>25</v>
      </c>
      <c r="K109" s="142"/>
      <c r="L109" s="142"/>
      <c r="M109" s="142"/>
      <c r="N109" s="142"/>
      <c r="O109" s="232"/>
      <c r="P109" s="232"/>
      <c r="Q109" s="232"/>
      <c r="R109" s="232"/>
      <c r="S109" s="232"/>
      <c r="T109" s="232"/>
      <c r="U109" s="232"/>
      <c r="V109" s="232"/>
    </row>
    <row r="110" spans="1:14" ht="12">
      <c r="A110" s="132" t="s">
        <v>34</v>
      </c>
      <c r="K110" s="142"/>
      <c r="L110" s="142"/>
      <c r="M110" s="142"/>
      <c r="N110" s="142"/>
    </row>
    <row r="111" spans="1:11" ht="12.75">
      <c r="A111" s="146"/>
      <c r="K111" s="231"/>
    </row>
  </sheetData>
  <sheetProtection/>
  <protectedRanges>
    <protectedRange sqref="D15:J21 D22 F22:J22 D84:I84 D85:J103 D23:J31 D3:J4 D7:J7 D34:J83" name="Rozstęp1"/>
    <protectedRange sqref="E22" name="Rozstęp9"/>
    <protectedRange sqref="B15:B31" name="Rozstęp1_1_3"/>
    <protectedRange sqref="B32" name="Rozstęp1_1_4"/>
    <protectedRange sqref="D32:J32" name="Rozstęp1_5"/>
    <protectedRange sqref="B3:B4 B7 B34:B103" name="Rozstęp1_1_5"/>
    <protectedRange sqref="B13" name="Rozstęp1_1_4_1"/>
    <protectedRange sqref="D13:F13" name="Rozstęp1_1_5_1"/>
    <protectedRange sqref="G13:I13" name="Rozstęp1_1_6"/>
    <protectedRange sqref="B14" name="Rozstęp1_1_4_3"/>
    <protectedRange sqref="D14:F14" name="Rozstęp1_1_5_3"/>
    <protectedRange sqref="G14:J14" name="Rozstęp1_1_6_2"/>
    <protectedRange sqref="B5" name="Rozstęp1_1_4_7"/>
    <protectedRange sqref="D5:F5" name="Rozstęp1_3_2"/>
    <protectedRange sqref="G5:J5" name="Rozstęp1_5_4"/>
    <protectedRange sqref="B6" name="Rozstęp1_1_4_8"/>
    <protectedRange sqref="D6 F6" name="Rozstęp1_3_3"/>
    <protectedRange sqref="E6" name="Rozstęp9_1"/>
    <protectedRange sqref="G6:J6" name="Rozstęp1_5_5"/>
    <protectedRange sqref="B8" name="Rozstęp1_1_4_9"/>
    <protectedRange sqref="D8 F8" name="Rozstęp1_3_4"/>
    <protectedRange sqref="E8" name="Rozstęp9_1_1"/>
    <protectedRange sqref="G8:J8" name="Rozstęp1_5_6"/>
    <protectedRange sqref="B9" name="Rozstęp1_1_4_10"/>
    <protectedRange sqref="D9:F9" name="Rozstęp1_3_5"/>
    <protectedRange sqref="G9:J9" name="Rozstęp1_5_7"/>
    <protectedRange sqref="B10" name="Rozstęp1_1_4_11"/>
    <protectedRange sqref="D10:F10" name="Rozstęp1_3_6"/>
    <protectedRange sqref="G10:J10" name="Rozstęp1_5_8"/>
    <protectedRange sqref="B11" name="Rozstęp1_1_4_12"/>
    <protectedRange sqref="D11:F11" name="Rozstęp1_3_7"/>
    <protectedRange sqref="G11:J11" name="Rozstęp1_5_9"/>
    <protectedRange sqref="B12" name="Rozstęp1_1_4_13"/>
    <protectedRange sqref="D12:F12" name="Rozstęp1_3_8"/>
    <protectedRange sqref="G12:J12" name="Rozstęp1_5_10"/>
    <protectedRange sqref="B33" name="Rozstęp1_1_4_14"/>
    <protectedRange sqref="D33:F33" name="Rozstęp1_3_9"/>
    <protectedRange sqref="G33:J33" name="Rozstęp1_5_11"/>
    <protectedRange sqref="J13" name="Rozstęp1_1_6_4"/>
    <protectedRange sqref="J84" name="Rozstęp1_1"/>
  </protectedRanges>
  <mergeCells count="18">
    <mergeCell ref="N1:N2"/>
    <mergeCell ref="A104:H104"/>
    <mergeCell ref="O1:X1"/>
    <mergeCell ref="A1:A2"/>
    <mergeCell ref="B1:B2"/>
    <mergeCell ref="C1:C2"/>
    <mergeCell ref="D1:D2"/>
    <mergeCell ref="E1:E2"/>
    <mergeCell ref="F1:F2"/>
    <mergeCell ref="G1:G2"/>
    <mergeCell ref="A105:H105"/>
    <mergeCell ref="A106:H106"/>
    <mergeCell ref="J1:J2"/>
    <mergeCell ref="K1:K2"/>
    <mergeCell ref="L1:L2"/>
    <mergeCell ref="M1:M2"/>
    <mergeCell ref="H1:H2"/>
    <mergeCell ref="I1:I2"/>
  </mergeCells>
  <conditionalFormatting sqref="AB107 Y104:AB106">
    <cfRule type="cellIs" priority="142" dxfId="110" operator="equal">
      <formula>FALSE</formula>
    </cfRule>
  </conditionalFormatting>
  <conditionalFormatting sqref="Y104:AA106">
    <cfRule type="containsText" priority="135" dxfId="110" operator="containsText" text="fałsz">
      <formula>NOT(ISERROR(SEARCH("fałsz",Y104)))</formula>
    </cfRule>
  </conditionalFormatting>
  <conditionalFormatting sqref="N6">
    <cfRule type="cellIs" priority="46" dxfId="4" operator="equal" stopIfTrue="1">
      <formula>55</formula>
    </cfRule>
    <cfRule type="cellIs" priority="47" dxfId="3" operator="equal" stopIfTrue="1">
      <formula>60</formula>
    </cfRule>
    <cfRule type="cellIs" priority="48" dxfId="2" operator="equal" stopIfTrue="1">
      <formula>65</formula>
    </cfRule>
    <cfRule type="cellIs" priority="49" dxfId="1" operator="equal" stopIfTrue="1">
      <formula>70</formula>
    </cfRule>
    <cfRule type="cellIs" priority="50" dxfId="0" operator="equal" stopIfTrue="1">
      <formula>75</formula>
    </cfRule>
  </conditionalFormatting>
  <conditionalFormatting sqref="N8">
    <cfRule type="cellIs" priority="41" dxfId="4" operator="equal" stopIfTrue="1">
      <formula>55</formula>
    </cfRule>
    <cfRule type="cellIs" priority="42" dxfId="3" operator="equal" stopIfTrue="1">
      <formula>60</formula>
    </cfRule>
    <cfRule type="cellIs" priority="43" dxfId="2" operator="equal" stopIfTrue="1">
      <formula>65</formula>
    </cfRule>
    <cfRule type="cellIs" priority="44" dxfId="1" operator="equal" stopIfTrue="1">
      <formula>70</formula>
    </cfRule>
    <cfRule type="cellIs" priority="45" dxfId="0" operator="equal" stopIfTrue="1">
      <formula>75</formula>
    </cfRule>
  </conditionalFormatting>
  <conditionalFormatting sqref="N9">
    <cfRule type="cellIs" priority="36" dxfId="4" operator="equal" stopIfTrue="1">
      <formula>55</formula>
    </cfRule>
    <cfRule type="cellIs" priority="37" dxfId="3" operator="equal" stopIfTrue="1">
      <formula>60</formula>
    </cfRule>
    <cfRule type="cellIs" priority="38" dxfId="2" operator="equal" stopIfTrue="1">
      <formula>65</formula>
    </cfRule>
    <cfRule type="cellIs" priority="39" dxfId="1" operator="equal" stopIfTrue="1">
      <formula>70</formula>
    </cfRule>
    <cfRule type="cellIs" priority="40" dxfId="0" operator="equal" stopIfTrue="1">
      <formula>75</formula>
    </cfRule>
  </conditionalFormatting>
  <conditionalFormatting sqref="N10">
    <cfRule type="cellIs" priority="31" dxfId="4" operator="equal" stopIfTrue="1">
      <formula>55</formula>
    </cfRule>
    <cfRule type="cellIs" priority="32" dxfId="3" operator="equal" stopIfTrue="1">
      <formula>60</formula>
    </cfRule>
    <cfRule type="cellIs" priority="33" dxfId="2" operator="equal" stopIfTrue="1">
      <formula>65</formula>
    </cfRule>
    <cfRule type="cellIs" priority="34" dxfId="1" operator="equal" stopIfTrue="1">
      <formula>70</formula>
    </cfRule>
    <cfRule type="cellIs" priority="35" dxfId="0" operator="equal" stopIfTrue="1">
      <formula>75</formula>
    </cfRule>
  </conditionalFormatting>
  <conditionalFormatting sqref="N11">
    <cfRule type="cellIs" priority="26" dxfId="4" operator="equal" stopIfTrue="1">
      <formula>55</formula>
    </cfRule>
    <cfRule type="cellIs" priority="27" dxfId="3" operator="equal" stopIfTrue="1">
      <formula>60</formula>
    </cfRule>
    <cfRule type="cellIs" priority="28" dxfId="2" operator="equal" stopIfTrue="1">
      <formula>65</formula>
    </cfRule>
    <cfRule type="cellIs" priority="29" dxfId="1" operator="equal" stopIfTrue="1">
      <formula>70</formula>
    </cfRule>
    <cfRule type="cellIs" priority="30" dxfId="0" operator="equal" stopIfTrue="1">
      <formula>75</formula>
    </cfRule>
  </conditionalFormatting>
  <conditionalFormatting sqref="N12">
    <cfRule type="cellIs" priority="21" dxfId="4" operator="equal" stopIfTrue="1">
      <formula>55</formula>
    </cfRule>
    <cfRule type="cellIs" priority="22" dxfId="3" operator="equal" stopIfTrue="1">
      <formula>60</formula>
    </cfRule>
    <cfRule type="cellIs" priority="23" dxfId="2" operator="equal" stopIfTrue="1">
      <formula>65</formula>
    </cfRule>
    <cfRule type="cellIs" priority="24" dxfId="1" operator="equal" stopIfTrue="1">
      <formula>70</formula>
    </cfRule>
    <cfRule type="cellIs" priority="25" dxfId="0" operator="equal" stopIfTrue="1">
      <formula>75</formula>
    </cfRule>
  </conditionalFormatting>
  <conditionalFormatting sqref="N33">
    <cfRule type="cellIs" priority="16" dxfId="4" operator="equal" stopIfTrue="1">
      <formula>55</formula>
    </cfRule>
    <cfRule type="cellIs" priority="17" dxfId="3" operator="equal" stopIfTrue="1">
      <formula>60</formula>
    </cfRule>
    <cfRule type="cellIs" priority="18" dxfId="2" operator="equal" stopIfTrue="1">
      <formula>65</formula>
    </cfRule>
    <cfRule type="cellIs" priority="19" dxfId="1" operator="equal" stopIfTrue="1">
      <formula>70</formula>
    </cfRule>
    <cfRule type="cellIs" priority="20" dxfId="0" operator="equal" stopIfTrue="1">
      <formula>75</formula>
    </cfRule>
  </conditionalFormatting>
  <conditionalFormatting sqref="N13">
    <cfRule type="cellIs" priority="11" dxfId="4" operator="equal" stopIfTrue="1">
      <formula>55</formula>
    </cfRule>
    <cfRule type="cellIs" priority="12" dxfId="3" operator="equal" stopIfTrue="1">
      <formula>60</formula>
    </cfRule>
    <cfRule type="cellIs" priority="13" dxfId="2" operator="equal" stopIfTrue="1">
      <formula>65</formula>
    </cfRule>
    <cfRule type="cellIs" priority="14" dxfId="1" operator="equal" stopIfTrue="1">
      <formula>70</formula>
    </cfRule>
    <cfRule type="cellIs" priority="15" dxfId="0" operator="equal" stopIfTrue="1">
      <formula>75</formula>
    </cfRule>
  </conditionalFormatting>
  <conditionalFormatting sqref="N14">
    <cfRule type="cellIs" priority="6" dxfId="4" operator="equal" stopIfTrue="1">
      <formula>55</formula>
    </cfRule>
    <cfRule type="cellIs" priority="7" dxfId="3" operator="equal" stopIfTrue="1">
      <formula>60</formula>
    </cfRule>
    <cfRule type="cellIs" priority="8" dxfId="2" operator="equal" stopIfTrue="1">
      <formula>65</formula>
    </cfRule>
    <cfRule type="cellIs" priority="9" dxfId="1" operator="equal" stopIfTrue="1">
      <formula>70</formula>
    </cfRule>
    <cfRule type="cellIs" priority="10" dxfId="0" operator="equal" stopIfTrue="1">
      <formula>75</formula>
    </cfRule>
  </conditionalFormatting>
  <conditionalFormatting sqref="N5">
    <cfRule type="cellIs" priority="1" dxfId="4" operator="equal" stopIfTrue="1">
      <formula>55</formula>
    </cfRule>
    <cfRule type="cellIs" priority="2" dxfId="3" operator="equal" stopIfTrue="1">
      <formula>60</formula>
    </cfRule>
    <cfRule type="cellIs" priority="3" dxfId="2" operator="equal" stopIfTrue="1">
      <formula>65</formula>
    </cfRule>
    <cfRule type="cellIs" priority="4" dxfId="1" operator="equal" stopIfTrue="1">
      <formula>70</formula>
    </cfRule>
    <cfRule type="cellIs" priority="5" dxfId="0" operator="equal" stopIfTrue="1">
      <formula>75</formula>
    </cfRule>
  </conditionalFormatting>
  <dataValidations count="1">
    <dataValidation type="list" allowBlank="1" showInputMessage="1" showErrorMessage="1" sqref="C56:C57 C33 C40:C54 C3:C6 C8:C14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4" r:id="rId1"/>
  <headerFooter>
    <oddHeader>&amp;LWojewództwo Małopolskie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Bielicka Marzena</cp:lastModifiedBy>
  <cp:lastPrinted>2021-12-15T14:17:00Z</cp:lastPrinted>
  <dcterms:created xsi:type="dcterms:W3CDTF">2019-02-25T10:53:14Z</dcterms:created>
  <dcterms:modified xsi:type="dcterms:W3CDTF">2022-02-15T10:15:51Z</dcterms:modified>
  <cp:category/>
  <cp:version/>
  <cp:contentType/>
  <cp:contentStatus/>
</cp:coreProperties>
</file>